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5.xml" ContentType="application/vnd.openxmlformats-officedocument.drawingml.chart+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2.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P910 - WASTE2ROAD\WP5 - Value Chain, LCC&amp;TEA\1 Deliverables\D5.5\"/>
    </mc:Choice>
  </mc:AlternateContent>
  <xr:revisionPtr revIDLastSave="0" documentId="13_ncr:1_{2A9B69A9-986E-41FE-877B-EB95E663A3A6}" xr6:coauthVersionLast="47" xr6:coauthVersionMax="47" xr10:uidLastSave="{00000000-0000-0000-0000-000000000000}"/>
  <workbookProtection workbookAlgorithmName="SHA-512" workbookHashValue="10+0Qd6uJWLH7Gtq9PNuP4Reh8ajCxYvsBRHQdMNOp7B5Fyo0CPKSy35FaNyyFwSrAgde5SahpAP0L2+LjPgUg==" workbookSaltValue="fLGDM/TR/C01pGXPBLthFQ==" workbookSpinCount="100000" lockStructure="1"/>
  <bookViews>
    <workbookView xWindow="-96" yWindow="-96" windowWidth="23232" windowHeight="12552" firstSheet="2" activeTab="8" xr2:uid="{0E3D92CC-4D36-42F6-82B2-0C0C4E8A70B9}"/>
  </bookViews>
  <sheets>
    <sheet name="Introduction" sheetId="4" r:id="rId1"/>
    <sheet name="Terms and conditions" sheetId="15" r:id="rId2"/>
    <sheet name="Inventory" sheetId="1" r:id="rId3"/>
    <sheet name="PFD &amp; Equipment list" sheetId="10" r:id="rId4"/>
    <sheet name="GCT" sheetId="2" r:id="rId5"/>
    <sheet name="GHG" sheetId="5" r:id="rId6"/>
    <sheet name="Economic" sheetId="6" r:id="rId7"/>
    <sheet name="Energy efficiency" sheetId="7" r:id="rId8"/>
    <sheet name="Social Impact" sheetId="14" r:id="rId9"/>
    <sheet name="Risk Evaluation " sheetId="12" r:id="rId10"/>
  </sheets>
  <definedNames>
    <definedName name="ActionsList" localSheetId="9">#REF!</definedName>
    <definedName name="ActionsList" localSheetId="8">#REF!</definedName>
    <definedName name="ActionsList">#REF!</definedName>
    <definedName name="Ceilings">#REF!</definedName>
    <definedName name="Countries">#REF!</definedName>
    <definedName name="iso_co">#REF!</definedName>
    <definedName name="partners">#REF!</definedName>
    <definedName name="Rates">#REF!</definedName>
    <definedName name="Year_s__of_the_action_grant_covered_by_an_operating_grant">#REF!</definedName>
    <definedName name="Yea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5" l="1"/>
  <c r="H71" i="5"/>
  <c r="C37" i="5"/>
  <c r="C71" i="5" s="1"/>
  <c r="J26" i="2"/>
  <c r="G40" i="7"/>
  <c r="G39" i="7"/>
  <c r="G49" i="7" s="1"/>
  <c r="F47" i="7"/>
  <c r="F46" i="7"/>
  <c r="F44" i="7"/>
  <c r="F43" i="7"/>
  <c r="F40" i="7"/>
  <c r="F39" i="7"/>
  <c r="E47" i="7"/>
  <c r="E46" i="7"/>
  <c r="E44" i="7"/>
  <c r="E43" i="7"/>
  <c r="E40" i="7"/>
  <c r="E39" i="7"/>
  <c r="D47" i="7"/>
  <c r="D46" i="7"/>
  <c r="D44" i="7"/>
  <c r="D43" i="7"/>
  <c r="D49" i="7" s="1"/>
  <c r="D40" i="7"/>
  <c r="D39" i="7"/>
  <c r="V17" i="1"/>
  <c r="H81" i="5"/>
  <c r="H82" i="5"/>
  <c r="H83" i="5"/>
  <c r="H80" i="5"/>
  <c r="I32" i="14"/>
  <c r="I23" i="14"/>
  <c r="F49" i="7" l="1"/>
  <c r="H67" i="2" a="1"/>
  <c r="H67" i="2" s="1"/>
  <c r="F67" i="2" a="1"/>
  <c r="F67" i="2" s="1"/>
  <c r="D67" i="2" a="1"/>
  <c r="D67" i="2" s="1"/>
  <c r="T30" i="6"/>
  <c r="V27" i="6" l="1"/>
  <c r="F27" i="6"/>
  <c r="AB32" i="6"/>
  <c r="AB30" i="6"/>
  <c r="AB29" i="6"/>
  <c r="AB28" i="6"/>
  <c r="L32" i="6"/>
  <c r="L30" i="6"/>
  <c r="L29" i="6"/>
  <c r="L28" i="6"/>
  <c r="L30" i="1" l="1"/>
  <c r="K30" i="1"/>
  <c r="H30" i="1"/>
  <c r="G30" i="1"/>
  <c r="T29" i="6" l="1"/>
  <c r="D29" i="6"/>
  <c r="D30" i="6" s="1"/>
  <c r="C90" i="5" l="1"/>
  <c r="C53" i="6"/>
  <c r="F53" i="6"/>
  <c r="B27" i="5"/>
  <c r="P30" i="1" l="1"/>
  <c r="O30" i="1"/>
  <c r="M28" i="6"/>
  <c r="J27" i="2" l="1"/>
  <c r="G27" i="2"/>
  <c r="D27" i="2"/>
  <c r="D29" i="2" s="1"/>
  <c r="M27" i="2"/>
  <c r="E63" i="5"/>
  <c r="H64" i="5"/>
  <c r="D99" i="2" l="1"/>
  <c r="AB31" i="6" l="1"/>
  <c r="C24" i="7" l="1"/>
  <c r="B26" i="5"/>
  <c r="C25" i="5"/>
  <c r="K73" i="5" s="1"/>
  <c r="C24" i="5"/>
  <c r="L31" i="6"/>
  <c r="L59" i="6" s="1"/>
  <c r="M83" i="6"/>
  <c r="AC83" i="6"/>
  <c r="C27" i="5" l="1"/>
  <c r="H77" i="5"/>
  <c r="E77" i="5"/>
  <c r="K76" i="5"/>
  <c r="K77" i="5"/>
  <c r="K78" i="5"/>
  <c r="H76" i="5"/>
  <c r="H78" i="5"/>
  <c r="H65" i="5"/>
  <c r="H66" i="5"/>
  <c r="H67" i="5"/>
  <c r="H68" i="5"/>
  <c r="H69" i="5"/>
  <c r="H70" i="5"/>
  <c r="H72" i="5"/>
  <c r="E81" i="5"/>
  <c r="E82" i="5"/>
  <c r="E83" i="5"/>
  <c r="E76" i="5"/>
  <c r="E78" i="5"/>
  <c r="E75" i="5"/>
  <c r="E80" i="5"/>
  <c r="E64" i="5"/>
  <c r="E65" i="5"/>
  <c r="E66" i="5"/>
  <c r="E67" i="5"/>
  <c r="E68" i="5"/>
  <c r="E69" i="5"/>
  <c r="E70" i="5"/>
  <c r="E72" i="5"/>
  <c r="G50" i="7" l="1"/>
  <c r="F29" i="12"/>
  <c r="I29" i="12" s="1"/>
  <c r="G30" i="7"/>
  <c r="F30" i="7"/>
  <c r="E30" i="7"/>
  <c r="G28" i="7"/>
  <c r="F28" i="7"/>
  <c r="E28" i="7"/>
  <c r="F50" i="7" l="1"/>
  <c r="D50" i="7"/>
  <c r="E50" i="7"/>
  <c r="E49" i="7" l="1"/>
  <c r="K75" i="5" l="1"/>
  <c r="H75" i="5"/>
  <c r="AC77" i="6"/>
  <c r="AC78" i="6"/>
  <c r="AC79" i="6"/>
  <c r="AC80" i="6"/>
  <c r="AC81" i="6"/>
  <c r="AC82" i="6"/>
  <c r="AC75" i="6"/>
  <c r="AC73" i="6"/>
  <c r="AC70" i="6"/>
  <c r="AC71" i="6"/>
  <c r="AC69" i="6"/>
  <c r="AC66" i="6"/>
  <c r="AC67" i="6"/>
  <c r="AC65" i="6"/>
  <c r="AC60" i="6"/>
  <c r="AC61" i="6"/>
  <c r="AC62" i="6"/>
  <c r="AC63" i="6"/>
  <c r="AC59" i="6"/>
  <c r="AC29" i="6"/>
  <c r="AC30" i="6"/>
  <c r="AC31" i="6"/>
  <c r="AC32" i="6"/>
  <c r="AC28" i="6"/>
  <c r="V50" i="6"/>
  <c r="V51" i="6"/>
  <c r="V52" i="6"/>
  <c r="V49" i="6"/>
  <c r="U31" i="6"/>
  <c r="M77" i="6"/>
  <c r="M78" i="6"/>
  <c r="M79" i="6"/>
  <c r="M80" i="6"/>
  <c r="M81" i="6"/>
  <c r="M82" i="6"/>
  <c r="M75" i="6"/>
  <c r="M73" i="6"/>
  <c r="M70" i="6"/>
  <c r="M71" i="6"/>
  <c r="M69" i="6"/>
  <c r="M66" i="6"/>
  <c r="M67" i="6"/>
  <c r="M65" i="6"/>
  <c r="M60" i="6"/>
  <c r="M61" i="6"/>
  <c r="M62" i="6"/>
  <c r="M63" i="6"/>
  <c r="M59" i="6"/>
  <c r="M29" i="6"/>
  <c r="M30" i="6"/>
  <c r="M31" i="6"/>
  <c r="M32" i="6"/>
  <c r="F50" i="6"/>
  <c r="F51" i="6"/>
  <c r="F52" i="6"/>
  <c r="F49" i="6"/>
  <c r="E31" i="6"/>
  <c r="F39" i="12"/>
  <c r="I39" i="12" s="1"/>
  <c r="F38" i="12"/>
  <c r="I38" i="12" s="1"/>
  <c r="F37" i="12"/>
  <c r="I37" i="12" s="1"/>
  <c r="F36" i="12"/>
  <c r="I36" i="12" s="1"/>
  <c r="F35" i="12"/>
  <c r="I35" i="12" s="1"/>
  <c r="F33" i="12"/>
  <c r="I33" i="12" s="1"/>
  <c r="F32" i="12"/>
  <c r="I32" i="12" s="1"/>
  <c r="F31" i="12"/>
  <c r="I31" i="12" s="1"/>
  <c r="F30" i="12"/>
  <c r="I30" i="12" s="1"/>
  <c r="F15" i="12"/>
  <c r="I15" i="12" s="1"/>
  <c r="F14" i="12"/>
  <c r="I14" i="12" s="1"/>
  <c r="F13" i="12"/>
  <c r="I13" i="12" s="1"/>
  <c r="F12" i="12"/>
  <c r="I12" i="12" s="1"/>
  <c r="F11" i="12"/>
  <c r="I11" i="12" s="1"/>
  <c r="F21" i="12"/>
  <c r="I21" i="12" s="1"/>
  <c r="F20" i="12"/>
  <c r="I20" i="12" s="1"/>
  <c r="F19" i="12"/>
  <c r="I19" i="12" s="1"/>
  <c r="F18" i="12"/>
  <c r="I18" i="12" s="1"/>
  <c r="F17" i="12"/>
  <c r="I17" i="12" s="1"/>
  <c r="F9" i="12"/>
  <c r="I9" i="12" s="1"/>
  <c r="F8" i="12"/>
  <c r="I8" i="12" s="1"/>
  <c r="F7" i="12"/>
  <c r="I7" i="12" s="1"/>
  <c r="F6" i="12"/>
  <c r="I6" i="12" s="1"/>
  <c r="F5" i="12"/>
  <c r="I5" i="12" s="1"/>
  <c r="F27" i="12"/>
  <c r="I27" i="12" s="1"/>
  <c r="F26" i="12"/>
  <c r="I26" i="12" s="1"/>
  <c r="F25" i="12"/>
  <c r="I25" i="12" s="1"/>
  <c r="F24" i="12"/>
  <c r="I24" i="12" s="1"/>
  <c r="F23" i="12"/>
  <c r="I23" i="12" s="1"/>
  <c r="L31" i="12" l="1"/>
  <c r="L38" i="12"/>
  <c r="L30" i="12"/>
  <c r="L37" i="12"/>
  <c r="L36" i="12"/>
  <c r="L35" i="12"/>
  <c r="L34" i="12"/>
  <c r="L33" i="12"/>
  <c r="L32" i="12"/>
  <c r="N10" i="7"/>
  <c r="I10" i="7"/>
  <c r="D10" i="7"/>
  <c r="K10" i="5"/>
  <c r="H10" i="5"/>
  <c r="D10" i="5"/>
  <c r="N10" i="2"/>
  <c r="I10" i="2"/>
  <c r="D10" i="2"/>
  <c r="P10" i="6"/>
  <c r="AF17" i="1"/>
  <c r="K10" i="6"/>
  <c r="G10" i="6"/>
  <c r="W23" i="6"/>
  <c r="K85" i="5"/>
  <c r="K86" i="5" s="1"/>
  <c r="T31" i="6" l="1"/>
  <c r="U49" i="6" s="1"/>
  <c r="U50" i="6" s="1"/>
  <c r="U51" i="6" l="1"/>
  <c r="U52" i="6" s="1"/>
  <c r="B41" i="2" l="1"/>
  <c r="B173" i="2" s="1"/>
  <c r="B42" i="2"/>
  <c r="B174" i="2" s="1"/>
  <c r="B43" i="2"/>
  <c r="B175" i="2" s="1"/>
  <c r="B44" i="2"/>
  <c r="B176" i="2" s="1"/>
  <c r="B45" i="2"/>
  <c r="B177" i="2" s="1"/>
  <c r="B46" i="2"/>
  <c r="B178" i="2" s="1"/>
  <c r="B40" i="2"/>
  <c r="M28" i="2"/>
  <c r="J28" i="2"/>
  <c r="G28" i="2"/>
  <c r="D28" i="2"/>
  <c r="M26" i="2"/>
  <c r="M29" i="2" s="1"/>
  <c r="J29" i="2"/>
  <c r="G26" i="2"/>
  <c r="G29" i="2" s="1"/>
  <c r="D26" i="2"/>
  <c r="L62" i="6"/>
  <c r="AB59" i="6"/>
  <c r="J183" i="2" l="1"/>
  <c r="G183" i="2"/>
  <c r="D183" i="2"/>
  <c r="D129" i="2"/>
  <c r="J129" i="2"/>
  <c r="D156" i="2"/>
  <c r="G129" i="2"/>
  <c r="J156" i="2"/>
  <c r="G156" i="2"/>
  <c r="G98" i="2"/>
  <c r="D98" i="2"/>
  <c r="J98" i="2"/>
  <c r="G99" i="2"/>
  <c r="G130" i="2"/>
  <c r="J130" i="2"/>
  <c r="J99" i="2"/>
  <c r="D130" i="2"/>
  <c r="D138" i="2"/>
  <c r="D157" i="2" s="1"/>
  <c r="G138" i="2"/>
  <c r="G157" i="2" s="1"/>
  <c r="J138" i="2"/>
  <c r="J157" i="2" s="1"/>
  <c r="D31" i="6"/>
  <c r="E49" i="6" s="1"/>
  <c r="E50" i="6" s="1"/>
  <c r="B172" i="2"/>
  <c r="B145" i="2"/>
  <c r="G23" i="6"/>
  <c r="H60" i="5"/>
  <c r="E60" i="5"/>
  <c r="AB17" i="1"/>
  <c r="C49" i="5" l="1"/>
  <c r="C83" i="5" s="1"/>
  <c r="AB62" i="6" l="1"/>
  <c r="E51" i="6" l="1"/>
  <c r="E52" i="6" l="1"/>
  <c r="E53" i="6" s="1"/>
  <c r="L60" i="6"/>
  <c r="L75" i="6"/>
  <c r="L81" i="6" s="1"/>
  <c r="L73" i="6"/>
  <c r="L66" i="6"/>
  <c r="L67" i="6"/>
  <c r="L80" i="6" l="1"/>
  <c r="L61" i="6"/>
  <c r="L65" i="6"/>
  <c r="L78" i="6" l="1"/>
  <c r="L69" i="6"/>
  <c r="L63" i="6" s="1"/>
  <c r="L77" i="6" s="1"/>
  <c r="L71" i="6" l="1"/>
  <c r="L70" i="6"/>
  <c r="H63" i="5"/>
  <c r="C30" i="5"/>
  <c r="C64" i="5" s="1"/>
  <c r="C31" i="5"/>
  <c r="C65" i="5" s="1"/>
  <c r="C32" i="5"/>
  <c r="C66" i="5" s="1"/>
  <c r="C33" i="5"/>
  <c r="C67" i="5" s="1"/>
  <c r="C34" i="5"/>
  <c r="C68" i="5" s="1"/>
  <c r="C35" i="5"/>
  <c r="C69" i="5" s="1"/>
  <c r="C36" i="5"/>
  <c r="C70" i="5" s="1"/>
  <c r="C38" i="5"/>
  <c r="C72" i="5" s="1"/>
  <c r="C41" i="5"/>
  <c r="C75" i="5" s="1"/>
  <c r="C42" i="5"/>
  <c r="C76" i="5" s="1"/>
  <c r="C43" i="5"/>
  <c r="C77" i="5" s="1"/>
  <c r="C44" i="5"/>
  <c r="C78" i="5" s="1"/>
  <c r="C46" i="5"/>
  <c r="C80" i="5" s="1"/>
  <c r="C47" i="5"/>
  <c r="C81" i="5" s="1"/>
  <c r="C48" i="5"/>
  <c r="C82" i="5" s="1"/>
  <c r="B40" i="5"/>
  <c r="B74" i="5" s="1"/>
  <c r="B45" i="5"/>
  <c r="B79" i="5" s="1"/>
  <c r="C29" i="5"/>
  <c r="C63" i="5" s="1"/>
  <c r="B28" i="5"/>
  <c r="B62" i="5" s="1"/>
  <c r="J74" i="2" a="1"/>
  <c r="J74" i="2" s="1"/>
  <c r="G74" i="2" a="1"/>
  <c r="G74" i="2" s="1"/>
  <c r="G75" i="2" a="1"/>
  <c r="G75" i="2" s="1"/>
  <c r="D74" i="2" a="1"/>
  <c r="D74" i="2" s="1"/>
  <c r="D75" i="2" a="1"/>
  <c r="D75" i="2" s="1"/>
  <c r="M49" i="2"/>
  <c r="J49" i="2"/>
  <c r="G49" i="2"/>
  <c r="D49" i="2"/>
  <c r="B150" i="2"/>
  <c r="B151" i="2"/>
  <c r="B124" i="2"/>
  <c r="B123" i="2"/>
  <c r="B92" i="2"/>
  <c r="B93" i="2"/>
  <c r="J79" i="2" a="1"/>
  <c r="J79" i="2" s="1"/>
  <c r="J92" i="2" s="1"/>
  <c r="J80" i="2" a="1"/>
  <c r="J80" i="2" s="1"/>
  <c r="J93" i="2" s="1"/>
  <c r="G79" i="2" a="1"/>
  <c r="G79" i="2" s="1"/>
  <c r="G92" i="2" s="1"/>
  <c r="G80" i="2" a="1"/>
  <c r="G80" i="2" s="1"/>
  <c r="G93" i="2" s="1"/>
  <c r="D79" i="2" a="1"/>
  <c r="D79" i="2" s="1"/>
  <c r="D80" i="2" a="1"/>
  <c r="D80" i="2" s="1"/>
  <c r="B79" i="2"/>
  <c r="B80" i="2"/>
  <c r="N45" i="2"/>
  <c r="N46" i="2"/>
  <c r="K45" i="2"/>
  <c r="K46" i="2"/>
  <c r="H45" i="2"/>
  <c r="H46" i="2"/>
  <c r="E45" i="2"/>
  <c r="E46" i="2"/>
  <c r="L82" i="6" l="1"/>
  <c r="L83" i="6" s="1"/>
  <c r="L79" i="6"/>
  <c r="H85" i="5"/>
  <c r="H86" i="5" s="1"/>
  <c r="E85" i="5"/>
  <c r="E86" i="5" s="1"/>
  <c r="D76" i="2" a="1"/>
  <c r="D76" i="2" s="1"/>
  <c r="D77" i="2" a="1"/>
  <c r="D77" i="2" s="1"/>
  <c r="D78" i="2" a="1"/>
  <c r="D78" i="2" s="1"/>
  <c r="J38" i="2"/>
  <c r="G58" i="2"/>
  <c r="G59" i="2"/>
  <c r="M59" i="2"/>
  <c r="M58" i="2"/>
  <c r="J59" i="2"/>
  <c r="J58" i="2"/>
  <c r="J75" i="2" a="1"/>
  <c r="J75" i="2" s="1"/>
  <c r="J88" i="2" s="1"/>
  <c r="J76" i="2" a="1"/>
  <c r="J76" i="2" s="1"/>
  <c r="J89" i="2" s="1"/>
  <c r="J77" i="2" a="1"/>
  <c r="J77" i="2" s="1"/>
  <c r="J90" i="2" s="1"/>
  <c r="J78" i="2" a="1"/>
  <c r="J78" i="2" s="1"/>
  <c r="J91" i="2" s="1"/>
  <c r="G88" i="2"/>
  <c r="G76" i="2" a="1"/>
  <c r="G76" i="2" s="1"/>
  <c r="G89" i="2" s="1"/>
  <c r="G77" i="2" a="1"/>
  <c r="G77" i="2" s="1"/>
  <c r="G90" i="2" s="1"/>
  <c r="G78" i="2" a="1"/>
  <c r="G78" i="2" s="1"/>
  <c r="G91" i="2" s="1"/>
  <c r="N44" i="2"/>
  <c r="K44" i="2"/>
  <c r="H44" i="2"/>
  <c r="E44" i="2"/>
  <c r="N43" i="2"/>
  <c r="K43" i="2"/>
  <c r="H43" i="2"/>
  <c r="E43" i="2"/>
  <c r="N42" i="2"/>
  <c r="K42" i="2"/>
  <c r="H42" i="2"/>
  <c r="E42" i="2"/>
  <c r="N41" i="2"/>
  <c r="K41" i="2"/>
  <c r="H41" i="2"/>
  <c r="E41" i="2"/>
  <c r="N40" i="2"/>
  <c r="K40" i="2"/>
  <c r="H40" i="2"/>
  <c r="E40" i="2"/>
  <c r="B146" i="2"/>
  <c r="B147" i="2"/>
  <c r="B148" i="2"/>
  <c r="B149" i="2"/>
  <c r="B119" i="2"/>
  <c r="B120" i="2"/>
  <c r="B121" i="2"/>
  <c r="B122" i="2"/>
  <c r="B118" i="2"/>
  <c r="B88" i="2"/>
  <c r="B89" i="2"/>
  <c r="B90" i="2"/>
  <c r="B91" i="2"/>
  <c r="B87" i="2"/>
  <c r="B75" i="2"/>
  <c r="B76" i="2"/>
  <c r="B77" i="2"/>
  <c r="B78" i="2"/>
  <c r="B74" i="2"/>
  <c r="J110" i="2"/>
  <c r="J111" i="2" s="1"/>
  <c r="C87" i="5" l="1"/>
  <c r="G165" i="2"/>
  <c r="E165" i="2"/>
  <c r="N49" i="2"/>
  <c r="D38" i="2"/>
  <c r="K49" i="2"/>
  <c r="M38" i="2"/>
  <c r="G38" i="2"/>
  <c r="G110" i="2"/>
  <c r="G111" i="2" s="1"/>
  <c r="H49" i="2"/>
  <c r="D110" i="2"/>
  <c r="I165" i="2"/>
  <c r="J184" i="2" s="1"/>
  <c r="E49" i="2"/>
  <c r="D172" i="2" l="1"/>
  <c r="D184" i="2"/>
  <c r="G177" i="2"/>
  <c r="G184" i="2"/>
  <c r="G174" i="2"/>
  <c r="G178" i="2"/>
  <c r="J174" i="2"/>
  <c r="J178" i="2"/>
  <c r="J177" i="2"/>
  <c r="D111" i="2"/>
  <c r="D123" i="2" s="1"/>
  <c r="D178" i="2"/>
  <c r="D177" i="2"/>
  <c r="J147" i="2"/>
  <c r="G150" i="2"/>
  <c r="G151" i="2"/>
  <c r="J150" i="2"/>
  <c r="J151" i="2"/>
  <c r="D150" i="2"/>
  <c r="D151" i="2"/>
  <c r="G124" i="2"/>
  <c r="G123" i="2"/>
  <c r="J123" i="2"/>
  <c r="J124" i="2"/>
  <c r="J122" i="2"/>
  <c r="G122" i="2"/>
  <c r="D145" i="2"/>
  <c r="G148" i="2"/>
  <c r="J175" i="2"/>
  <c r="J148" i="2"/>
  <c r="D146" i="2"/>
  <c r="D174" i="2"/>
  <c r="D173" i="2"/>
  <c r="G146" i="2"/>
  <c r="J145" i="2"/>
  <c r="D149" i="2"/>
  <c r="G175" i="2"/>
  <c r="J176" i="2"/>
  <c r="G173" i="2"/>
  <c r="D176" i="2"/>
  <c r="J173" i="2"/>
  <c r="G147" i="2"/>
  <c r="G145" i="2"/>
  <c r="D175" i="2"/>
  <c r="G176" i="2"/>
  <c r="J172" i="2"/>
  <c r="J149" i="2"/>
  <c r="D147" i="2"/>
  <c r="D148" i="2"/>
  <c r="J146" i="2"/>
  <c r="G149" i="2"/>
  <c r="G172" i="2"/>
  <c r="J118" i="2"/>
  <c r="J119" i="2"/>
  <c r="J120" i="2"/>
  <c r="J121" i="2"/>
  <c r="G121" i="2"/>
  <c r="G118" i="2"/>
  <c r="G119" i="2"/>
  <c r="G120" i="2"/>
  <c r="D93" i="2"/>
  <c r="J87" i="2"/>
  <c r="G87" i="2"/>
  <c r="D121" i="2" l="1"/>
  <c r="D119" i="2"/>
  <c r="D118" i="2"/>
  <c r="D124" i="2"/>
  <c r="D122" i="2"/>
  <c r="D120" i="2"/>
  <c r="D87" i="2"/>
  <c r="D92" i="2"/>
  <c r="D90" i="2"/>
  <c r="D91" i="2"/>
  <c r="D88" i="2"/>
  <c r="D89" i="2"/>
  <c r="AB75" i="6" l="1"/>
  <c r="AB81" i="6" s="1"/>
  <c r="AB66" i="6"/>
  <c r="AB73" i="6"/>
  <c r="AB67" i="6"/>
  <c r="AB60" i="6"/>
  <c r="AB80" i="6" l="1"/>
  <c r="AB65" i="6"/>
  <c r="AB61" i="6"/>
  <c r="AB69" i="6" l="1"/>
  <c r="AB63" i="6" s="1"/>
  <c r="AB78" i="6"/>
  <c r="AB77" i="6" l="1"/>
  <c r="AB70" i="6"/>
  <c r="AB71" i="6"/>
  <c r="AB82" i="6" l="1"/>
  <c r="AB83" i="6" s="1"/>
  <c r="AB7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Note:</author>
    <author>Note</author>
    <author>Sadaf Savadkouhi</author>
  </authors>
  <commentList>
    <comment ref="D5" authorId="0" shapeId="0" xr:uid="{6EE8E3AE-61C9-481A-BDB6-86629C35F594}">
      <text>
        <r>
          <rPr>
            <b/>
            <sz val="9"/>
            <color indexed="81"/>
            <rFont val="Tahoma"/>
            <family val="2"/>
          </rPr>
          <t xml:space="preserve">Note:
</t>
        </r>
        <r>
          <rPr>
            <sz val="9"/>
            <color indexed="81"/>
            <rFont val="Tahoma"/>
            <family val="2"/>
          </rPr>
          <t>All the prices are with EURO (€) currency. If you use other currencies please adjust the prices by using currency converter table.</t>
        </r>
      </text>
    </comment>
    <comment ref="C6" authorId="0" shapeId="0" xr:uid="{34BC120A-BAED-46D6-B6F6-C9B03E858160}">
      <text>
        <r>
          <rPr>
            <b/>
            <sz val="9"/>
            <color indexed="81"/>
            <rFont val="Tahoma"/>
            <family val="2"/>
          </rPr>
          <t>Note::</t>
        </r>
        <r>
          <rPr>
            <sz val="9"/>
            <color indexed="81"/>
            <rFont val="Tahoma"/>
            <family val="2"/>
          </rPr>
          <t xml:space="preserve">
Check the feedstock table</t>
        </r>
      </text>
    </comment>
    <comment ref="C7" authorId="0" shapeId="0" xr:uid="{99136733-E1BE-46FF-B440-ECC1270A6B88}">
      <text>
        <r>
          <rPr>
            <b/>
            <sz val="9"/>
            <color indexed="81"/>
            <rFont val="Tahoma"/>
            <family val="2"/>
          </rPr>
          <t>Note::</t>
        </r>
        <r>
          <rPr>
            <sz val="9"/>
            <color indexed="81"/>
            <rFont val="Tahoma"/>
            <family val="2"/>
          </rPr>
          <t xml:space="preserve">
Check the feedstock table</t>
        </r>
      </text>
    </comment>
    <comment ref="C8" authorId="0" shapeId="0" xr:uid="{8BD19A5C-635C-4AF7-8889-7DED679BD1EF}">
      <text>
        <r>
          <rPr>
            <b/>
            <sz val="9"/>
            <color indexed="81"/>
            <rFont val="Tahoma"/>
            <family val="2"/>
          </rPr>
          <t>Note::</t>
        </r>
        <r>
          <rPr>
            <sz val="9"/>
            <color indexed="81"/>
            <rFont val="Tahoma"/>
            <family val="2"/>
          </rPr>
          <t xml:space="preserve">
Check the feedstock table</t>
        </r>
      </text>
    </comment>
    <comment ref="C9" authorId="0" shapeId="0" xr:uid="{A826D981-4540-4B5D-B1F3-CD2E22414BFD}">
      <text>
        <r>
          <rPr>
            <b/>
            <sz val="9"/>
            <color indexed="81"/>
            <rFont val="Tahoma"/>
            <family val="2"/>
          </rPr>
          <t>Note::</t>
        </r>
        <r>
          <rPr>
            <sz val="9"/>
            <color indexed="81"/>
            <rFont val="Tahoma"/>
            <family val="2"/>
          </rPr>
          <t xml:space="preserve">
Check the feedstock table</t>
        </r>
      </text>
    </comment>
    <comment ref="D10" authorId="1" shapeId="0" xr:uid="{6F4E0A4B-7AE3-4317-BD42-0E1DEBE9EDE0}">
      <text>
        <r>
          <rPr>
            <b/>
            <sz val="9"/>
            <color indexed="81"/>
            <rFont val="Tahoma"/>
            <family val="2"/>
          </rPr>
          <t>Note:</t>
        </r>
        <r>
          <rPr>
            <sz val="9"/>
            <color indexed="81"/>
            <rFont val="Tahoma"/>
            <family val="2"/>
          </rPr>
          <t xml:space="preserve">
https://puritygas.ca/nitrogen-gas-costs/</t>
        </r>
      </text>
    </comment>
    <comment ref="D11" authorId="1" shapeId="0" xr:uid="{1E1A618A-907D-418C-B71A-2952F3A76774}">
      <text>
        <r>
          <rPr>
            <b/>
            <sz val="9"/>
            <color indexed="81"/>
            <rFont val="Tahoma"/>
            <family val="2"/>
          </rPr>
          <t>Note:</t>
        </r>
        <r>
          <rPr>
            <sz val="9"/>
            <color indexed="81"/>
            <rFont val="Tahoma"/>
            <family val="2"/>
          </rPr>
          <t xml:space="preserve">
G.Kakoulaki, I.Kougias, N.Taylor, F.Dolci, J.Moya, A.Jäger-Waldau
Green hydrogen in Europe – A regional assessment: Substituting existing production with electrolysis powered by renewables</t>
        </r>
      </text>
    </comment>
    <comment ref="D12" authorId="1" shapeId="0" xr:uid="{4BECD834-9326-4A36-B847-CDEF973DE7D1}">
      <text>
        <r>
          <rPr>
            <b/>
            <sz val="9"/>
            <color indexed="81"/>
            <rFont val="Tahoma"/>
            <family val="2"/>
          </rPr>
          <t>Note:</t>
        </r>
        <r>
          <rPr>
            <sz val="9"/>
            <color indexed="81"/>
            <rFont val="Tahoma"/>
            <family val="2"/>
          </rPr>
          <t xml:space="preserve">
Jones, S., Meyer, P., Snowden-Swan, L., Padmaperuma,  et al., 2013. Process Design and Economics for the Conversion of Lignocellulosic Biomass to Hydrocarbon Fuels Fast Pyrolysis and Hydrotreating </t>
        </r>
      </text>
    </comment>
    <comment ref="D13" authorId="0" shapeId="0" xr:uid="{DA54111C-42A4-4E72-AAC7-F854B4C1CF94}">
      <text>
        <r>
          <rPr>
            <b/>
            <sz val="9"/>
            <color indexed="81"/>
            <rFont val="Tahoma"/>
            <family val="2"/>
          </rPr>
          <t>Note:</t>
        </r>
        <r>
          <rPr>
            <sz val="9"/>
            <color indexed="81"/>
            <rFont val="Tahoma"/>
            <family val="2"/>
          </rPr>
          <t xml:space="preserve">
BTG feedback</t>
        </r>
      </text>
    </comment>
    <comment ref="D14" authorId="0" shapeId="0" xr:uid="{6A820944-E33E-4808-8F42-DFD5C0ED767E}">
      <text>
        <r>
          <rPr>
            <b/>
            <sz val="9"/>
            <color indexed="81"/>
            <rFont val="Tahoma"/>
            <family val="2"/>
          </rPr>
          <t>Note:</t>
        </r>
        <r>
          <rPr>
            <sz val="9"/>
            <color indexed="81"/>
            <rFont val="Tahoma"/>
            <family val="2"/>
          </rPr>
          <t xml:space="preserve">
BTG feedback</t>
        </r>
      </text>
    </comment>
    <comment ref="D15" authorId="1" shapeId="0" xr:uid="{3012EA13-C598-4BC4-8925-D52C095C7150}">
      <text>
        <r>
          <rPr>
            <b/>
            <sz val="9"/>
            <color indexed="81"/>
            <rFont val="Tahoma"/>
            <family val="2"/>
          </rPr>
          <t>Note:</t>
        </r>
        <r>
          <rPr>
            <sz val="9"/>
            <color indexed="81"/>
            <rFont val="Tahoma"/>
            <family val="2"/>
          </rPr>
          <t xml:space="preserve">
BTG</t>
        </r>
      </text>
    </comment>
    <comment ref="C17" authorId="1" shapeId="0" xr:uid="{E819E7E8-EAFC-412A-84E9-621E7154B287}">
      <text>
        <r>
          <rPr>
            <b/>
            <sz val="9"/>
            <color indexed="81"/>
            <rFont val="Tahoma"/>
            <family val="2"/>
          </rPr>
          <t>Note:</t>
        </r>
        <r>
          <rPr>
            <sz val="9"/>
            <color indexed="81"/>
            <rFont val="Tahoma"/>
            <family val="2"/>
          </rPr>
          <t xml:space="preserve">
Add negetive price if the steam can be sold as an energy</t>
        </r>
      </text>
    </comment>
    <comment ref="D18" authorId="0" shapeId="0" xr:uid="{AEECBE13-18ED-4EA5-BA4B-1CD1F6483E5B}">
      <text>
        <r>
          <rPr>
            <b/>
            <sz val="9"/>
            <color indexed="81"/>
            <rFont val="Tahoma"/>
            <family val="2"/>
          </rPr>
          <t>Note::</t>
        </r>
        <r>
          <rPr>
            <sz val="9"/>
            <color indexed="81"/>
            <rFont val="Tahoma"/>
            <family val="2"/>
          </rPr>
          <t xml:space="preserve">
Humbird, 2011. Process Design and Economics for Biochemical Conversion of Lignocellulosic Biomass to Ethanol Process Design and Economics for Biochemical Conversion of Lignocellulosic Biomass to Ethanol. Renew. Energy 303, 147. https://doi.org/10.2172/1013269</t>
        </r>
      </text>
    </comment>
    <comment ref="D19" authorId="1" shapeId="0" xr:uid="{EEDD3470-E09A-4F72-822A-0F0B14E47445}">
      <text>
        <r>
          <rPr>
            <b/>
            <sz val="9"/>
            <color indexed="81"/>
            <rFont val="Tahoma"/>
            <family val="2"/>
          </rPr>
          <t>Note:</t>
        </r>
        <r>
          <rPr>
            <sz val="9"/>
            <color indexed="81"/>
            <rFont val="Tahoma"/>
            <family val="2"/>
          </rPr>
          <t xml:space="preserve">
BTG</t>
        </r>
      </text>
    </comment>
    <comment ref="H19" authorId="0" shapeId="0" xr:uid="{EEA85E13-E321-45E3-AE2F-67CAFBFCBBD2}">
      <text>
        <r>
          <rPr>
            <b/>
            <sz val="9"/>
            <color indexed="81"/>
            <rFont val="Tahoma"/>
            <family val="2"/>
          </rPr>
          <t>Note::</t>
        </r>
        <r>
          <rPr>
            <sz val="9"/>
            <color indexed="81"/>
            <rFont val="Tahoma"/>
            <family val="2"/>
          </rPr>
          <t xml:space="preserve">
Add the bio-oil from one unit</t>
        </r>
      </text>
    </comment>
    <comment ref="K19" authorId="2" shapeId="0" xr:uid="{E69543B6-4895-4313-8747-5D8E33F1B051}">
      <text>
        <r>
          <rPr>
            <b/>
            <sz val="9"/>
            <color indexed="81"/>
            <rFont val="Tahoma"/>
            <family val="2"/>
          </rPr>
          <t>Note:</t>
        </r>
        <r>
          <rPr>
            <sz val="9"/>
            <color indexed="81"/>
            <rFont val="Tahoma"/>
            <family val="2"/>
          </rPr>
          <t xml:space="preserve">
FP bio-oil goes to the ugrading part</t>
        </r>
      </text>
    </comment>
    <comment ref="G37" authorId="0" shapeId="0" xr:uid="{4E9C62F7-D742-4412-98F0-0C79B81CF47B}">
      <text>
        <r>
          <rPr>
            <b/>
            <sz val="9"/>
            <color indexed="81"/>
            <rFont val="Tahoma"/>
            <family val="2"/>
          </rPr>
          <t>Note::</t>
        </r>
        <r>
          <rPr>
            <sz val="9"/>
            <color indexed="81"/>
            <rFont val="Tahoma"/>
            <family val="2"/>
          </rPr>
          <t xml:space="preserve">
Pleas insert the kW cooling water</t>
        </r>
      </text>
    </comment>
    <comment ref="H37" authorId="0" shapeId="0" xr:uid="{46D6959E-57E0-41B7-8D8F-E41D849AA09C}">
      <text>
        <r>
          <rPr>
            <b/>
            <sz val="9"/>
            <color indexed="81"/>
            <rFont val="Tahoma"/>
            <family val="2"/>
          </rPr>
          <t>Note::</t>
        </r>
        <r>
          <rPr>
            <sz val="9"/>
            <color indexed="81"/>
            <rFont val="Tahoma"/>
            <family val="2"/>
          </rPr>
          <t xml:space="preserve">
Pleas insert the kW cooling water</t>
        </r>
      </text>
    </comment>
    <comment ref="G38" authorId="0" shapeId="0" xr:uid="{42A253E0-4B5F-4AA8-8BB8-379752AA4CE3}">
      <text>
        <r>
          <rPr>
            <b/>
            <sz val="9"/>
            <color indexed="81"/>
            <rFont val="Tahoma"/>
            <family val="2"/>
          </rPr>
          <t>Note::</t>
        </r>
        <r>
          <rPr>
            <sz val="9"/>
            <color indexed="81"/>
            <rFont val="Tahoma"/>
            <family val="2"/>
          </rPr>
          <t xml:space="preserve">
Pleas insert the t/h cooling water</t>
        </r>
      </text>
    </comment>
    <comment ref="H38" authorId="0" shapeId="0" xr:uid="{B9927CBB-C2CA-4D33-B609-282B2325547F}">
      <text>
        <r>
          <rPr>
            <b/>
            <sz val="9"/>
            <color indexed="81"/>
            <rFont val="Tahoma"/>
            <family val="2"/>
          </rPr>
          <t>Note::</t>
        </r>
        <r>
          <rPr>
            <sz val="9"/>
            <color indexed="81"/>
            <rFont val="Tahoma"/>
            <family val="2"/>
          </rPr>
          <t xml:space="preserve">
Pleas insert the t/h cooling water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B63" authorId="0" shapeId="0" xr:uid="{7397ED38-8EF8-4E79-9CD3-8FE405AFA254}">
      <text>
        <r>
          <rPr>
            <b/>
            <sz val="9"/>
            <color indexed="81"/>
            <rFont val="Tahoma"/>
            <family val="2"/>
          </rPr>
          <t>Note::</t>
        </r>
        <r>
          <rPr>
            <sz val="9"/>
            <color indexed="81"/>
            <rFont val="Tahoma"/>
            <family val="2"/>
          </rPr>
          <t xml:space="preserve">
Observed mass balance method is based on the difference in yield in case of adding bio-oil in the co-processing and just fossil input (no biogenic feedstock). The concept is any changes in yield is because of the co-feeding of bio-oil. Observed yield is a simple method without adding any necessary equipment.</t>
        </r>
      </text>
    </comment>
    <comment ref="B84" authorId="0" shapeId="0" xr:uid="{CABC00FF-7E66-470C-9F94-72C1544C3658}">
      <text>
        <r>
          <rPr>
            <b/>
            <sz val="9"/>
            <color indexed="81"/>
            <rFont val="Tahoma"/>
            <family val="2"/>
          </rPr>
          <t>Note::</t>
        </r>
        <r>
          <rPr>
            <sz val="9"/>
            <color indexed="81"/>
            <rFont val="Tahoma"/>
            <family val="2"/>
          </rPr>
          <t xml:space="preserve">
In some cases, if the percentage of a product decreases by adding biogenic bio-oil, then the yield of that product will be negative. To solve having negative yield, normalization is needed by introducing a zero normalization factor, meaning subtracting the negative yield equally from the positive product yields by excluding CO, CO2 and water. </t>
        </r>
      </text>
    </comment>
    <comment ref="B105" authorId="0" shapeId="0" xr:uid="{A949A7A2-87FD-4D9E-B347-CF8D887E374C}">
      <text>
        <r>
          <rPr>
            <b/>
            <sz val="9"/>
            <color indexed="81"/>
            <rFont val="Tahoma"/>
            <family val="2"/>
          </rPr>
          <t>Note::</t>
        </r>
        <r>
          <rPr>
            <sz val="9"/>
            <color indexed="81"/>
            <rFont val="Tahoma"/>
            <family val="2"/>
          </rPr>
          <t xml:space="preserve">
Total mass balance shows mass contribution of bio-oil in the final co-processing input by excluding the amount of the input ends up in carbon monoxide, carbon dioxide and water</t>
        </r>
      </text>
    </comment>
    <comment ref="B135" authorId="0" shapeId="0" xr:uid="{D269C019-F772-4735-A2DF-AF39E63A0BB1}">
      <text>
        <r>
          <rPr>
            <b/>
            <sz val="9"/>
            <color indexed="81"/>
            <rFont val="Tahoma"/>
            <family val="2"/>
          </rPr>
          <t>Note::</t>
        </r>
        <r>
          <rPr>
            <sz val="9"/>
            <color indexed="81"/>
            <rFont val="Tahoma"/>
            <family val="2"/>
          </rPr>
          <t xml:space="preserve">
In energy balance method, the yield is calculated based on the energy weighted ratio of bio-oil and fossil input. 
Yield factor  is the fraction of energy content of the bio-oil on the total energy content of the inputs. </t>
        </r>
      </text>
    </comment>
    <comment ref="B161" authorId="0" shapeId="0" xr:uid="{98807FA2-5734-44F9-B0B4-4C2D562FF663}">
      <text>
        <r>
          <rPr>
            <b/>
            <sz val="9"/>
            <color indexed="81"/>
            <rFont val="Tahoma"/>
            <family val="2"/>
          </rPr>
          <t>Note::</t>
        </r>
        <r>
          <rPr>
            <sz val="9"/>
            <color indexed="81"/>
            <rFont val="Tahoma"/>
            <family val="2"/>
          </rPr>
          <t xml:space="preserve">
The concept of the carbon mass balance is calculating the ratio of bio-oil in co-feed stream ends up in the product by excluding amount of the carbon that ends up in carbon dioxide and carbon monoxide. Yield factor calculates the carbon mass that ends up to carbon monoxide and carbon dioxide.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Sadaf Savadkouhi</author>
    <author>Sadaf Soleimani</author>
    <author>Note:</author>
    <author>Note</author>
  </authors>
  <commentList>
    <comment ref="C26" authorId="0" shapeId="0" xr:uid="{C41FD549-0E0A-43AA-9F0A-E392DC237B0C}">
      <text>
        <r>
          <rPr>
            <b/>
            <sz val="9"/>
            <color indexed="81"/>
            <rFont val="Tahoma"/>
            <family val="2"/>
          </rPr>
          <t>Note:</t>
        </r>
        <r>
          <rPr>
            <sz val="9"/>
            <color indexed="81"/>
            <rFont val="Tahoma"/>
            <family val="2"/>
          </rPr>
          <t xml:space="preserve">
-Use the supplementary table
-Make sure to use either HHV or LHV during the calculation  </t>
        </r>
      </text>
    </comment>
    <comment ref="D34" authorId="0" shapeId="0" xr:uid="{12B1C405-5BFE-46F0-B1CC-C13D4D318554}">
      <text>
        <r>
          <rPr>
            <b/>
            <sz val="9"/>
            <color indexed="81"/>
            <rFont val="Tahoma"/>
            <family val="2"/>
          </rPr>
          <t>Note:</t>
        </r>
        <r>
          <rPr>
            <sz val="9"/>
            <color indexed="81"/>
            <rFont val="Tahoma"/>
            <family val="2"/>
          </rPr>
          <t xml:space="preserve">
For green H2: 
https://www.fch.europa.eu/news/clarification-compliance-certifhy-green-hydrogen-criteria-fch-ju-projects#:~:text=To%20be%20called%20Green%20Hydrogen,g%20CO2equ%2FMJLHV.</t>
        </r>
      </text>
    </comment>
    <comment ref="D36" authorId="1" shapeId="0" xr:uid="{8031E7B7-F492-4887-8409-90D8C0BD4275}">
      <text>
        <r>
          <rPr>
            <b/>
            <sz val="9"/>
            <color indexed="81"/>
            <rFont val="Tahoma"/>
            <family val="2"/>
          </rPr>
          <t>Note:</t>
        </r>
        <r>
          <rPr>
            <sz val="9"/>
            <color indexed="81"/>
            <rFont val="Tahoma"/>
            <family val="2"/>
          </rPr>
          <t xml:space="preserve">
https://www.researchgate.net/publication/294423127_Life_cycle_greenhouse_gas_emissions_analysis_of_catalysts_for_hydrotreating_of_fast_pyrolysis_bio-oil
</t>
        </r>
      </text>
    </comment>
    <comment ref="D38" authorId="1" shapeId="0" xr:uid="{039EA559-BED0-4391-8682-2EBD2A9E9AB6}">
      <text>
        <r>
          <rPr>
            <b/>
            <sz val="9"/>
            <color indexed="81"/>
            <rFont val="Tahoma"/>
            <family val="2"/>
          </rPr>
          <t>Note:</t>
        </r>
        <r>
          <rPr>
            <sz val="9"/>
            <color indexed="81"/>
            <rFont val="Tahoma"/>
            <family val="2"/>
          </rPr>
          <t xml:space="preserve">
https://www.science.org/doi/10.1126/sciadv.abf0187
</t>
        </r>
      </text>
    </comment>
    <comment ref="D42" authorId="1" shapeId="0" xr:uid="{03CA0574-3F18-4846-A2E7-8C900A0207BD}">
      <text>
        <r>
          <rPr>
            <b/>
            <sz val="9"/>
            <color indexed="81"/>
            <rFont val="Tahoma"/>
            <family val="2"/>
          </rPr>
          <t>Note:</t>
        </r>
        <r>
          <rPr>
            <sz val="9"/>
            <color indexed="81"/>
            <rFont val="Tahoma"/>
            <family val="2"/>
          </rPr>
          <t xml:space="preserve">
Guideline for energy efficiency (VNCI)</t>
        </r>
      </text>
    </comment>
    <comment ref="D43" authorId="2" shapeId="0" xr:uid="{CDD0CFB1-976E-4475-93F6-2BA3F931A717}">
      <text>
        <r>
          <rPr>
            <b/>
            <sz val="9"/>
            <color indexed="81"/>
            <rFont val="Tahoma"/>
            <family val="2"/>
          </rPr>
          <t>Note::</t>
        </r>
        <r>
          <rPr>
            <sz val="9"/>
            <color indexed="81"/>
            <rFont val="Tahoma"/>
            <family val="2"/>
          </rPr>
          <t xml:space="preserve">
Steam comes from CHP unit</t>
        </r>
      </text>
    </comment>
    <comment ref="D44" authorId="1" shapeId="0" xr:uid="{E1C5DB53-C57E-403D-8BB3-2D8B93890AAB}">
      <text>
        <r>
          <rPr>
            <b/>
            <sz val="9"/>
            <color indexed="81"/>
            <rFont val="Tahoma"/>
            <family val="2"/>
          </rPr>
          <t>Note:</t>
        </r>
        <r>
          <rPr>
            <sz val="9"/>
            <color indexed="81"/>
            <rFont val="Tahoma"/>
            <family val="2"/>
          </rPr>
          <t xml:space="preserve">
https://www.eea.europa.eu/data-and-maps/indicators/overview-of-the-electricity-production-3/assessment
</t>
        </r>
      </text>
    </comment>
    <comment ref="B45" authorId="1" shapeId="0" xr:uid="{D85E0F4F-06DC-4932-A804-42D47F0908C1}">
      <text>
        <r>
          <rPr>
            <b/>
            <sz val="9"/>
            <color indexed="81"/>
            <rFont val="Tahoma"/>
            <family val="2"/>
          </rPr>
          <t>Note:</t>
        </r>
        <r>
          <rPr>
            <sz val="9"/>
            <color indexed="81"/>
            <rFont val="Tahoma"/>
            <family val="2"/>
          </rPr>
          <t xml:space="preserve">
https://www.ipcc.ch/site/assets/uploads/2018/02/ipcc_wg3_ar5_chapter8.pdf
</t>
        </r>
      </text>
    </comment>
    <comment ref="B88" authorId="3" shapeId="0" xr:uid="{B37ED5CF-D18D-414C-9EE4-CAA72AD6E67F}">
      <text>
        <r>
          <rPr>
            <b/>
            <sz val="9"/>
            <color indexed="81"/>
            <rFont val="Tahoma"/>
            <family val="2"/>
          </rPr>
          <t>Note:</t>
        </r>
        <r>
          <rPr>
            <sz val="9"/>
            <color indexed="81"/>
            <rFont val="Tahoma"/>
            <family val="2"/>
          </rPr>
          <t xml:space="preserve">
Can be calculated based on 100% green carbon tracking (C24=100%)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Note:</author>
    <author>Sadaf Savadkouhi</author>
  </authors>
  <commentList>
    <comment ref="K28" authorId="0" shapeId="0" xr:uid="{907C152C-8E39-401E-BB70-42EC6267951F}">
      <text>
        <r>
          <rPr>
            <b/>
            <sz val="9"/>
            <color indexed="81"/>
            <rFont val="Tahoma"/>
            <family val="2"/>
          </rPr>
          <t>Note:</t>
        </r>
        <r>
          <rPr>
            <sz val="9"/>
            <color indexed="81"/>
            <rFont val="Tahoma"/>
            <family val="2"/>
          </rPr>
          <t xml:space="preserve">
Costs are estimated based by multiplying the stream volumes, taken from the mass balance, and prices. Auxiliary materials include cost of catalysts, solvent make-up and consumables, e.g. neutralizer.</t>
        </r>
      </text>
    </comment>
    <comment ref="AA28" authorId="0" shapeId="0" xr:uid="{DE3CAB43-379C-45B0-846A-E00EC1A9EF9B}">
      <text>
        <r>
          <rPr>
            <b/>
            <sz val="9"/>
            <color indexed="81"/>
            <rFont val="Tahoma"/>
            <family val="2"/>
          </rPr>
          <t>Note:</t>
        </r>
        <r>
          <rPr>
            <sz val="9"/>
            <color indexed="81"/>
            <rFont val="Tahoma"/>
            <family val="2"/>
          </rPr>
          <t xml:space="preserve">
Costs are estimated based by multiplying the stream volumes, taken from the mass balance, and prices. Auxiliary materials include cost of catalysts, solvent make-up and consumables, e.g. neutralizer.</t>
        </r>
      </text>
    </comment>
    <comment ref="C30" authorId="0" shapeId="0" xr:uid="{48AF3ED2-10E3-4AA9-8392-BE8AE02E35B0}">
      <text>
        <r>
          <rPr>
            <b/>
            <sz val="9"/>
            <color indexed="81"/>
            <rFont val="Tahoma"/>
            <family val="2"/>
          </rPr>
          <t>Note:</t>
        </r>
        <r>
          <rPr>
            <sz val="9"/>
            <color indexed="81"/>
            <rFont val="Tahoma"/>
            <family val="2"/>
          </rPr>
          <t xml:space="preserve">
• Direct cost
o Purchased Equipment Cost (PEC), also referred to as Free-On-Board (FOB)   cost
o Installation materials, which covers piping, concrete (foundation), steel (structural support), instruments, electrical materials, insulation, and paint.
o Direct labor for installation, which covers the wages of laborers and craftsmen who install the equipment
• Indirect cost
o Freight, insurance and taxes
o Construction overhead
o Contractor engineering expenses
</t>
        </r>
      </text>
    </comment>
    <comment ref="S30" authorId="0" shapeId="0" xr:uid="{1123B973-1301-40DB-94C8-CC20C3EEC178}">
      <text>
        <r>
          <rPr>
            <b/>
            <sz val="9"/>
            <color indexed="81"/>
            <rFont val="Tahoma"/>
            <family val="2"/>
          </rPr>
          <t>Note:</t>
        </r>
        <r>
          <rPr>
            <sz val="9"/>
            <color indexed="81"/>
            <rFont val="Tahoma"/>
            <family val="2"/>
          </rPr>
          <t xml:space="preserve">
• Direct cost
o Purchased Equipment Cost (PEC), also referred to as Free-On-Board (FOB)   cost
o Installation materials, which covers piping, concrete (foundation), steel (structural support), instruments, electrical materials, insulation, and paint.
o Direct labor for installation, which covers the wages of laborers and craftsmen who install the equipment
• Indirect cost
o Freight, insurance and taxes
o Construction overhead
o Contractor engineering expenses
</t>
        </r>
      </text>
    </comment>
    <comment ref="K31" authorId="0" shapeId="0" xr:uid="{F0163279-7C41-41E7-8303-581E7FD22EAC}">
      <text>
        <r>
          <rPr>
            <b/>
            <sz val="9"/>
            <color indexed="81"/>
            <rFont val="Tahoma"/>
            <family val="2"/>
          </rPr>
          <t>Note:</t>
        </r>
        <r>
          <rPr>
            <sz val="9"/>
            <color indexed="81"/>
            <rFont val="Tahoma"/>
            <family val="2"/>
          </rPr>
          <t xml:space="preserve">
-This refers to the people who actually run the equipment. It covers the shift and plant assistant operators. 
-Please fill out the job creation table in the social impact tab first</t>
        </r>
      </text>
    </comment>
    <comment ref="AA31" authorId="0" shapeId="0" xr:uid="{3768956E-9622-4A37-A58C-4A5661DEF0E4}">
      <text>
        <r>
          <rPr>
            <b/>
            <sz val="9"/>
            <color indexed="81"/>
            <rFont val="Tahoma"/>
            <family val="2"/>
          </rPr>
          <t>Note:</t>
        </r>
        <r>
          <rPr>
            <sz val="9"/>
            <color indexed="81"/>
            <rFont val="Tahoma"/>
            <family val="2"/>
          </rPr>
          <t xml:space="preserve">
-This refers to the people who actually run the equipment. It covers the shift and plant assistant operators. 
-Please fill out the job creation table in the social impact tab first</t>
        </r>
      </text>
    </comment>
    <comment ref="C32" authorId="1" shapeId="0" xr:uid="{FA48A023-315F-490E-945D-AD3DC0FD06D2}">
      <text>
        <r>
          <rPr>
            <b/>
            <sz val="9"/>
            <color indexed="81"/>
            <rFont val="Tahoma"/>
            <family val="2"/>
          </rPr>
          <t xml:space="preserve">Note:
</t>
        </r>
        <r>
          <rPr>
            <sz val="9"/>
            <color indexed="81"/>
            <rFont val="Tahoma"/>
            <family val="2"/>
          </rPr>
          <t xml:space="preserve">% of total bare module cost </t>
        </r>
      </text>
    </comment>
    <comment ref="S32" authorId="1" shapeId="0" xr:uid="{DB475B6C-F685-436E-89BE-C563530B458B}">
      <text>
        <r>
          <rPr>
            <b/>
            <sz val="9"/>
            <color indexed="81"/>
            <rFont val="Tahoma"/>
            <family val="2"/>
          </rPr>
          <t xml:space="preserve">Note:
</t>
        </r>
        <r>
          <rPr>
            <sz val="9"/>
            <color indexed="81"/>
            <rFont val="Tahoma"/>
            <family val="2"/>
          </rPr>
          <t xml:space="preserve">% of total bare module cost </t>
        </r>
      </text>
    </comment>
    <comment ref="D33" authorId="1" shapeId="0" xr:uid="{F0127C38-E831-4F47-9F7F-ED1680782D7C}">
      <text>
        <r>
          <rPr>
            <b/>
            <sz val="9"/>
            <color indexed="81"/>
            <rFont val="Tahoma"/>
            <family val="2"/>
          </rPr>
          <t>Note:</t>
        </r>
        <r>
          <rPr>
            <sz val="9"/>
            <color indexed="81"/>
            <rFont val="Tahoma"/>
            <family val="2"/>
          </rPr>
          <t xml:space="preserve">
-Typically, a high contingency is selected for a first-of-its-kind project which involves higher risk, while a low contingency generally covers the uncertainties for proven technology or a so-called nth plant approach, which assumes that already n-1 plants have been constructed and operate successfully.
</t>
        </r>
      </text>
    </comment>
    <comment ref="K33" authorId="1" shapeId="0" xr:uid="{3300B54C-29DC-4C23-9A85-0C005FCBB7D6}">
      <text>
        <r>
          <rPr>
            <b/>
            <sz val="9"/>
            <color indexed="81"/>
            <rFont val="Tahoma"/>
            <family val="2"/>
          </rPr>
          <t>Note:</t>
        </r>
        <r>
          <rPr>
            <sz val="9"/>
            <color indexed="81"/>
            <rFont val="Tahoma"/>
            <family val="2"/>
          </rPr>
          <t xml:space="preserve">
-The estimate is based on the operating labor, depending on the process complexity, 
-10%-30% of operating labour </t>
        </r>
      </text>
    </comment>
    <comment ref="T33" authorId="1" shapeId="0" xr:uid="{4BA83608-FFFF-458E-9BA9-C3A02F6FD5E2}">
      <text>
        <r>
          <rPr>
            <b/>
            <sz val="9"/>
            <color indexed="81"/>
            <rFont val="Tahoma"/>
            <family val="2"/>
          </rPr>
          <t>Note:</t>
        </r>
        <r>
          <rPr>
            <sz val="9"/>
            <color indexed="81"/>
            <rFont val="Tahoma"/>
            <family val="2"/>
          </rPr>
          <t xml:space="preserve">
-Typically, a high contingency is selected for a first-of-its-kind project which involves higher risk, while a low contingency generally covers the uncertainties for proven technology or a so-called nth plant approach, which assumes that already n-1 plants have been constructed and operate successfully.
</t>
        </r>
      </text>
    </comment>
    <comment ref="AA33" authorId="1" shapeId="0" xr:uid="{D2137061-6E70-42C0-8C35-419A05702050}">
      <text>
        <r>
          <rPr>
            <b/>
            <sz val="9"/>
            <color indexed="81"/>
            <rFont val="Tahoma"/>
            <family val="2"/>
          </rPr>
          <t>Note:</t>
        </r>
        <r>
          <rPr>
            <sz val="9"/>
            <color indexed="81"/>
            <rFont val="Tahoma"/>
            <family val="2"/>
          </rPr>
          <t xml:space="preserve">
-The estimate is based on the operating labor, depending on the process complexity, 
-10%-30% of operating labour </t>
        </r>
      </text>
    </comment>
    <comment ref="K34" authorId="1" shapeId="0" xr:uid="{51D1EF12-1D3A-4707-98A2-D7C5D3F5D378}">
      <text>
        <r>
          <rPr>
            <b/>
            <sz val="9"/>
            <color indexed="81"/>
            <rFont val="Tahoma"/>
            <family val="2"/>
          </rPr>
          <t>Note:</t>
        </r>
        <r>
          <rPr>
            <sz val="9"/>
            <color indexed="81"/>
            <rFont val="Tahoma"/>
            <family val="2"/>
          </rPr>
          <t xml:space="preserve">
-Expenses are proportional to the size, scale and complexity of the operation. The maintenance and repair cost include labor, supervision and tools. Generally, more than half of the maintenance expenses goes towards salaries.
- % of grass roots capital</t>
        </r>
      </text>
    </comment>
    <comment ref="AA34" authorId="1" shapeId="0" xr:uid="{E0DCA26E-A9EA-40DA-9449-5790AD724924}">
      <text>
        <r>
          <rPr>
            <b/>
            <sz val="9"/>
            <color indexed="81"/>
            <rFont val="Tahoma"/>
            <family val="2"/>
          </rPr>
          <t>Note:</t>
        </r>
        <r>
          <rPr>
            <sz val="9"/>
            <color indexed="81"/>
            <rFont val="Tahoma"/>
            <family val="2"/>
          </rPr>
          <t xml:space="preserve">
-Expenses are proportional to the size, scale and complexity of the operation. The maintenance and repair cost include labor, supervision and tools. Generally, more than half of the maintenance expenses goes towards salaries.
- % of grass roots capital</t>
        </r>
      </text>
    </comment>
    <comment ref="K35" authorId="1" shapeId="0" xr:uid="{502ED7F5-0ED0-4CB1-A93F-1C5EA7C9E3EE}">
      <text>
        <r>
          <rPr>
            <b/>
            <sz val="9"/>
            <color indexed="81"/>
            <rFont val="Tahoma"/>
            <family val="2"/>
          </rPr>
          <t>Note:</t>
        </r>
        <r>
          <rPr>
            <sz val="9"/>
            <color indexed="81"/>
            <rFont val="Tahoma"/>
            <family val="2"/>
          </rPr>
          <t xml:space="preserve">
-This includes replaceable materials, such as instrument charts, lubricants, supplies and items not considered part of regular maintenance. 
-Typically, a value of 10-20% of the maintenance/repair costs is recommended.
</t>
        </r>
      </text>
    </comment>
    <comment ref="AA35" authorId="1" shapeId="0" xr:uid="{DCE4B498-50C2-46FB-8ADB-9614CED31E14}">
      <text>
        <r>
          <rPr>
            <b/>
            <sz val="9"/>
            <color indexed="81"/>
            <rFont val="Tahoma"/>
            <family val="2"/>
          </rPr>
          <t>Note:</t>
        </r>
        <r>
          <rPr>
            <sz val="9"/>
            <color indexed="81"/>
            <rFont val="Tahoma"/>
            <family val="2"/>
          </rPr>
          <t xml:space="preserve">
-This includes replaceable materials, such as instrument charts, lubricants, supplies and items not considered part of regular maintenance. 
-Typically, a value of 10-20% of the maintenance/repair costs is recommended.
</t>
        </r>
      </text>
    </comment>
    <comment ref="K36" authorId="1" shapeId="0" xr:uid="{BC997B7B-F106-4A7D-942E-E4B5A6AD3161}">
      <text>
        <r>
          <rPr>
            <b/>
            <sz val="9"/>
            <color indexed="81"/>
            <rFont val="Tahoma"/>
            <family val="2"/>
          </rPr>
          <t>Note:</t>
        </r>
        <r>
          <rPr>
            <sz val="9"/>
            <color indexed="81"/>
            <rFont val="Tahoma"/>
            <family val="2"/>
          </rPr>
          <t xml:space="preserve">
-The amount of laboratory work and cost depends on the type and complexity of the process and covers quality control testing, chemical and physical analyses, and the associated operating labor. 
-10%-20% of operating labour</t>
        </r>
      </text>
    </comment>
    <comment ref="AA36" authorId="1" shapeId="0" xr:uid="{786E7ACA-C51B-400C-8772-AE46770E26A5}">
      <text>
        <r>
          <rPr>
            <b/>
            <sz val="9"/>
            <color indexed="81"/>
            <rFont val="Tahoma"/>
            <family val="2"/>
          </rPr>
          <t>Note:</t>
        </r>
        <r>
          <rPr>
            <sz val="9"/>
            <color indexed="81"/>
            <rFont val="Tahoma"/>
            <family val="2"/>
          </rPr>
          <t xml:space="preserve">
-The amount of laboratory work and cost depends on the type and complexity of the process and covers quality control testing, chemical and physical analyses, and the associated operating labor. 
-10%-20% of operating labour</t>
        </r>
      </text>
    </comment>
    <comment ref="K37" authorId="1" shapeId="0" xr:uid="{6D145564-7D43-4BDF-A652-7B943293EBD7}">
      <text>
        <r>
          <rPr>
            <b/>
            <sz val="9"/>
            <color indexed="81"/>
            <rFont val="Tahoma"/>
            <family val="2"/>
          </rPr>
          <t>Note:</t>
        </r>
        <r>
          <rPr>
            <sz val="9"/>
            <color indexed="81"/>
            <rFont val="Tahoma"/>
            <family val="2"/>
          </rPr>
          <t xml:space="preserve">
-The fee depends on the license agreement and the patent situation and ownership. 
-0%-6% of manufacturing expenses excl. financing </t>
        </r>
      </text>
    </comment>
    <comment ref="AA37" authorId="1" shapeId="0" xr:uid="{E9220A59-BCCA-4E6D-BDCF-8D228B225A9B}">
      <text>
        <r>
          <rPr>
            <b/>
            <sz val="9"/>
            <color indexed="81"/>
            <rFont val="Tahoma"/>
            <family val="2"/>
          </rPr>
          <t>Note:</t>
        </r>
        <r>
          <rPr>
            <sz val="9"/>
            <color indexed="81"/>
            <rFont val="Tahoma"/>
            <family val="2"/>
          </rPr>
          <t xml:space="preserve">
-The fee depends on the license agreement and the patent situation and ownership. 
-0%-6% of manufacturing expenses excl. financing </t>
        </r>
      </text>
    </comment>
    <comment ref="C38" authorId="1" shapeId="0" xr:uid="{DB9F1D30-DBBC-4814-BE0E-D4EBE1035411}">
      <text>
        <r>
          <rPr>
            <b/>
            <sz val="9"/>
            <color indexed="81"/>
            <rFont val="Tahoma"/>
            <family val="2"/>
          </rPr>
          <t>Note:</t>
        </r>
        <r>
          <rPr>
            <sz val="9"/>
            <color indexed="81"/>
            <rFont val="Tahoma"/>
            <family val="2"/>
          </rPr>
          <t xml:space="preserve">
% of total module capital cost </t>
        </r>
      </text>
    </comment>
    <comment ref="S38" authorId="1" shapeId="0" xr:uid="{57563DA3-75D2-462A-84AE-2EE72E48E259}">
      <text>
        <r>
          <rPr>
            <b/>
            <sz val="9"/>
            <color indexed="81"/>
            <rFont val="Tahoma"/>
            <family val="2"/>
          </rPr>
          <t>Note:</t>
        </r>
        <r>
          <rPr>
            <sz val="9"/>
            <color indexed="81"/>
            <rFont val="Tahoma"/>
            <family val="2"/>
          </rPr>
          <t xml:space="preserve">
% of total module capital cost </t>
        </r>
      </text>
    </comment>
    <comment ref="K39" authorId="1" shapeId="0" xr:uid="{ABAB5E0D-0C3C-4010-8791-81066098B435}">
      <text>
        <r>
          <rPr>
            <b/>
            <sz val="9"/>
            <color indexed="81"/>
            <rFont val="Tahoma"/>
            <family val="2"/>
          </rPr>
          <t>Note:</t>
        </r>
        <r>
          <rPr>
            <sz val="9"/>
            <color indexed="81"/>
            <rFont val="Tahoma"/>
            <family val="2"/>
          </rPr>
          <t xml:space="preserve">
-Prominent overhead cost items are fringe benefits, social security, unemployment insurance, and other compensation paid directly to plant personnel. Because a large part of maintenance expenses are devoted to salaries, the overhead costs are based on the sum of operating labor, supervision and maintenance and repairs. 
-% of labour, supervision, maintenance</t>
        </r>
      </text>
    </comment>
    <comment ref="AA39" authorId="1" shapeId="0" xr:uid="{73DB2117-594C-4671-B1CD-227164E966E5}">
      <text>
        <r>
          <rPr>
            <b/>
            <sz val="9"/>
            <color indexed="81"/>
            <rFont val="Tahoma"/>
            <family val="2"/>
          </rPr>
          <t>Note:</t>
        </r>
        <r>
          <rPr>
            <sz val="9"/>
            <color indexed="81"/>
            <rFont val="Tahoma"/>
            <family val="2"/>
          </rPr>
          <t xml:space="preserve">
-Prominent overhead cost items are fringe benefits, social security, unemployment insurance, and other compensation paid directly to plant personnel. Because a large part of maintenance expenses are devoted to salaries, the overhead costs are based on the sum of operating labor, supervision and maintenance and repairs. 
-% of labour, supervision, maintenance</t>
        </r>
      </text>
    </comment>
    <comment ref="K40" authorId="1" shapeId="0" xr:uid="{08049908-A6C5-4AD9-B8FD-37C236F289A8}">
      <text>
        <r>
          <rPr>
            <b/>
            <sz val="9"/>
            <color indexed="81"/>
            <rFont val="Tahoma"/>
            <family val="2"/>
          </rPr>
          <t>Note:</t>
        </r>
        <r>
          <rPr>
            <sz val="9"/>
            <color indexed="81"/>
            <rFont val="Tahoma"/>
            <family val="2"/>
          </rPr>
          <t xml:space="preserve">
-Tax expenses for property are country dependent, but can be estimated as a percentage of the fixed capital. 
-1%-3% of grass roots capital</t>
        </r>
      </text>
    </comment>
    <comment ref="AA40" authorId="1" shapeId="0" xr:uid="{98EE22CA-2DC0-449D-B59A-30EB69835298}">
      <text>
        <r>
          <rPr>
            <b/>
            <sz val="9"/>
            <color indexed="81"/>
            <rFont val="Tahoma"/>
            <family val="2"/>
          </rPr>
          <t>Note:</t>
        </r>
        <r>
          <rPr>
            <sz val="9"/>
            <color indexed="81"/>
            <rFont val="Tahoma"/>
            <family val="2"/>
          </rPr>
          <t xml:space="preserve">
-Tax expenses for property are country dependent, but can be estimated as a percentage of the fixed capital. 
-1%-3% of grass roots capital</t>
        </r>
      </text>
    </comment>
    <comment ref="D41" authorId="1" shapeId="0" xr:uid="{26978C9B-BDFC-4984-A204-E61BFCA6A4F1}">
      <text>
        <r>
          <rPr>
            <b/>
            <sz val="9"/>
            <color indexed="81"/>
            <rFont val="Tahoma"/>
            <family val="2"/>
          </rPr>
          <t>Note:</t>
        </r>
        <r>
          <rPr>
            <sz val="9"/>
            <color indexed="81"/>
            <rFont val="Tahoma"/>
            <family val="2"/>
          </rPr>
          <t xml:space="preserve">
-Auxiliary buildings include control rooms, product warehouses, laboratory, administrative and office, medical, restaurant/cafeteria, garage, guard and safety, personnel building, maintenance shops and building services (plumbing, heating, ventilation, air conditioning, lightning, elevators, intercommunication services, painting, etc.). 
</t>
        </r>
      </text>
    </comment>
    <comment ref="K41" authorId="1" shapeId="0" xr:uid="{7185B480-FD64-49CA-AEF8-63FE7C229DEB}">
      <text>
        <r>
          <rPr>
            <b/>
            <sz val="9"/>
            <color indexed="81"/>
            <rFont val="Tahoma"/>
            <family val="2"/>
          </rPr>
          <t>Note:</t>
        </r>
        <r>
          <rPr>
            <sz val="9"/>
            <color indexed="81"/>
            <rFont val="Tahoma"/>
            <family val="2"/>
          </rPr>
          <t xml:space="preserve">
1%-3% of grass roots capital</t>
        </r>
      </text>
    </comment>
    <comment ref="T41" authorId="1" shapeId="0" xr:uid="{883F406E-4AD8-4DF8-AE45-94692FDF8025}">
      <text>
        <r>
          <rPr>
            <b/>
            <sz val="9"/>
            <color indexed="81"/>
            <rFont val="Tahoma"/>
            <family val="2"/>
          </rPr>
          <t>Note:</t>
        </r>
        <r>
          <rPr>
            <sz val="9"/>
            <color indexed="81"/>
            <rFont val="Tahoma"/>
            <family val="2"/>
          </rPr>
          <t xml:space="preserve">
-Auxiliary buildings include control rooms, product warehouses, laboratory, administrative and office, medical, restaurant/cafeteria, garage, guard and safety, personnel building, maintenance shops and building services (plumbing, heating, ventilation, air conditioning, lightning, elevators, intercommunication services, painting, etc.). 
</t>
        </r>
      </text>
    </comment>
    <comment ref="AA41" authorId="1" shapeId="0" xr:uid="{F1C38C68-01CB-4851-B22E-8D45F85F4BE0}">
      <text>
        <r>
          <rPr>
            <b/>
            <sz val="9"/>
            <color indexed="81"/>
            <rFont val="Tahoma"/>
            <family val="2"/>
          </rPr>
          <t>Note:</t>
        </r>
        <r>
          <rPr>
            <sz val="9"/>
            <color indexed="81"/>
            <rFont val="Tahoma"/>
            <family val="2"/>
          </rPr>
          <t xml:space="preserve">
1%-3% of grass roots capital</t>
        </r>
      </text>
    </comment>
    <comment ref="D42" authorId="1" shapeId="0" xr:uid="{C9A33A93-1CCA-46EE-9A55-37D4C8429859}">
      <text>
        <r>
          <rPr>
            <b/>
            <sz val="9"/>
            <color indexed="81"/>
            <rFont val="Tahoma"/>
            <family val="2"/>
          </rPr>
          <t>Note:</t>
        </r>
        <r>
          <rPr>
            <sz val="9"/>
            <color indexed="81"/>
            <rFont val="Tahoma"/>
            <family val="2"/>
          </rPr>
          <t xml:space="preserve">
-Off-site facilities cover:
• Utilities: steam, water, power, refrigeration, compressed air, waste disposal, etc.
• Facilities: wells, river intake, water treatment, boilers, cooling towers, water storage, electric substations, refrigeration and air plans, fuel storage, fire protection, etc.
• Non-process equipment: office furniture and equipment, lab equipment, automotive and garage equipment, medical equipment, locker-room equipment, fire extinguishers, hoses, fire engines, etc.
• Distribution and packaging: raw-material and product storage and handling equipment, product packaging equipment, blending facilities, loading stations, etc.
</t>
        </r>
      </text>
    </comment>
    <comment ref="T42" authorId="1" shapeId="0" xr:uid="{3C1E1F22-F036-4C74-81D8-5DBE7BA7F68E}">
      <text>
        <r>
          <rPr>
            <b/>
            <sz val="9"/>
            <color indexed="81"/>
            <rFont val="Tahoma"/>
            <family val="2"/>
          </rPr>
          <t>Note:</t>
        </r>
        <r>
          <rPr>
            <sz val="9"/>
            <color indexed="81"/>
            <rFont val="Tahoma"/>
            <family val="2"/>
          </rPr>
          <t xml:space="preserve">
-Off-site facilities cover:
• Utilities: steam, water, power, refrigeration, compressed air, waste disposal, etc.
• Facilities: wells, river intake, water treatment, boilers, cooling towers, water storage, electric substations, refrigeration and air plans, fuel storage, fire protection, etc.
• Non-process equipment: office furniture and equipment, lab equipment, automotive and garage equipment, medical equipment, locker-room equipment, fire extinguishers, hoses, fire engines, etc.
• Distribution and packaging: raw-material and product storage and handling equipment, product packaging equipment, blending facilities, loading stations, etc.
</t>
        </r>
      </text>
    </comment>
    <comment ref="C43" authorId="1" shapeId="0" xr:uid="{7D00F89E-9A18-407D-81B4-3A5639C01043}">
      <text>
        <r>
          <rPr>
            <b/>
            <sz val="9"/>
            <color indexed="81"/>
            <rFont val="Tahoma"/>
            <family val="2"/>
          </rPr>
          <t>Note:</t>
        </r>
        <r>
          <rPr>
            <sz val="9"/>
            <color indexed="81"/>
            <rFont val="Tahoma"/>
            <family val="2"/>
          </rPr>
          <t xml:space="preserve">
% of total grass roots capital</t>
        </r>
      </text>
    </comment>
    <comment ref="K43" authorId="0" shapeId="0" xr:uid="{1760E7EB-54D8-4F90-805B-CDEAEB6D9EAE}">
      <text>
        <r>
          <rPr>
            <b/>
            <sz val="9"/>
            <color indexed="81"/>
            <rFont val="Tahoma"/>
            <family val="2"/>
          </rPr>
          <t>Note:</t>
        </r>
        <r>
          <rPr>
            <sz val="9"/>
            <color indexed="81"/>
            <rFont val="Tahoma"/>
            <family val="2"/>
          </rPr>
          <t xml:space="preserve">
-These costs are proportional to the plant staff and can be assessed as 25% of the overhead cost.</t>
        </r>
      </text>
    </comment>
    <comment ref="S43" authorId="1" shapeId="0" xr:uid="{96D0A222-89D3-4033-A555-EB2B744A0968}">
      <text>
        <r>
          <rPr>
            <b/>
            <sz val="9"/>
            <color indexed="81"/>
            <rFont val="Tahoma"/>
            <family val="2"/>
          </rPr>
          <t>Note:</t>
        </r>
        <r>
          <rPr>
            <sz val="9"/>
            <color indexed="81"/>
            <rFont val="Tahoma"/>
            <family val="2"/>
          </rPr>
          <t xml:space="preserve">
% of total grass roots capital</t>
        </r>
      </text>
    </comment>
    <comment ref="AA43" authorId="0" shapeId="0" xr:uid="{79D655BB-D813-4A2B-88A6-D61599BDF7DF}">
      <text>
        <r>
          <rPr>
            <b/>
            <sz val="9"/>
            <color indexed="81"/>
            <rFont val="Tahoma"/>
            <family val="2"/>
          </rPr>
          <t>Note:</t>
        </r>
        <r>
          <rPr>
            <sz val="9"/>
            <color indexed="81"/>
            <rFont val="Tahoma"/>
            <family val="2"/>
          </rPr>
          <t xml:space="preserve">
-These costs are proportional to the plant staff and can be assessed as 25% of the overhead cost.</t>
        </r>
      </text>
    </comment>
    <comment ref="D44" authorId="0" shapeId="0" xr:uid="{E3713E87-8437-4D82-A1D2-49B86B39EBBD}">
      <text>
        <r>
          <rPr>
            <b/>
            <sz val="9"/>
            <color indexed="81"/>
            <rFont val="Tahoma"/>
            <family val="2"/>
          </rPr>
          <t xml:space="preserve">Note:
</t>
        </r>
        <r>
          <rPr>
            <sz val="9"/>
            <color indexed="81"/>
            <rFont val="Tahoma"/>
            <family val="2"/>
          </rPr>
          <t xml:space="preserve">Startup expenses cover additional costs for startup, the lower productivity and financing cost during construction and startup. </t>
        </r>
        <r>
          <rPr>
            <sz val="9"/>
            <color indexed="81"/>
            <rFont val="Tahoma"/>
            <family val="2"/>
          </rPr>
          <t xml:space="preserve">
</t>
        </r>
      </text>
    </comment>
    <comment ref="K44" authorId="0" shapeId="0" xr:uid="{C32619F9-62A2-4AE7-9AAF-D5AB911EF5EA}">
      <text>
        <r>
          <rPr>
            <b/>
            <sz val="9"/>
            <color indexed="81"/>
            <rFont val="Tahoma"/>
            <family val="2"/>
          </rPr>
          <t>Note:</t>
        </r>
        <r>
          <rPr>
            <sz val="9"/>
            <color indexed="81"/>
            <rFont val="Tahoma"/>
            <family val="2"/>
          </rPr>
          <t xml:space="preserve">
Budgets are usually proportional to the product value. 
% of the manufacturing expenses.</t>
        </r>
      </text>
    </comment>
    <comment ref="T44" authorId="0" shapeId="0" xr:uid="{3EAFB459-B312-4741-ABA0-6EED445CC2A8}">
      <text>
        <r>
          <rPr>
            <b/>
            <sz val="9"/>
            <color indexed="81"/>
            <rFont val="Tahoma"/>
            <family val="2"/>
          </rPr>
          <t xml:space="preserve">Note:
</t>
        </r>
        <r>
          <rPr>
            <sz val="9"/>
            <color indexed="81"/>
            <rFont val="Tahoma"/>
            <family val="2"/>
          </rPr>
          <t xml:space="preserve">Startup expenses cover additional costs for startup, the lower productivity and financing cost during construction and startup. </t>
        </r>
        <r>
          <rPr>
            <sz val="9"/>
            <color indexed="81"/>
            <rFont val="Tahoma"/>
            <family val="2"/>
          </rPr>
          <t xml:space="preserve">
</t>
        </r>
      </text>
    </comment>
    <comment ref="AA44" authorId="0" shapeId="0" xr:uid="{F1860EAC-6F83-4DA5-9587-DD8D58D61048}">
      <text>
        <r>
          <rPr>
            <b/>
            <sz val="9"/>
            <color indexed="81"/>
            <rFont val="Tahoma"/>
            <family val="2"/>
          </rPr>
          <t>Note:</t>
        </r>
        <r>
          <rPr>
            <sz val="9"/>
            <color indexed="81"/>
            <rFont val="Tahoma"/>
            <family val="2"/>
          </rPr>
          <t xml:space="preserve">
Budgets are usually proportional to the product value. 
% of the manufacturing expenses.</t>
        </r>
      </text>
    </comment>
    <comment ref="D45" authorId="1" shapeId="0" xr:uid="{A4B95317-46F0-4D84-8500-B6C7A2A50514}">
      <text>
        <r>
          <rPr>
            <b/>
            <sz val="9"/>
            <color indexed="81"/>
            <rFont val="Tahoma"/>
            <family val="2"/>
          </rPr>
          <t>Note:</t>
        </r>
        <r>
          <rPr>
            <sz val="9"/>
            <color indexed="81"/>
            <rFont val="Tahoma"/>
            <family val="2"/>
          </rPr>
          <t xml:space="preserve">
-Working capital covers the inventory of raw materials, products, solvents, catalysts, spare parts, as well as outstanding invoices and payments that need to be done in advance.
</t>
        </r>
      </text>
    </comment>
    <comment ref="K45" authorId="0" shapeId="0" xr:uid="{74C3DC87-4B1C-4230-8051-43261B020A02}">
      <text>
        <r>
          <rPr>
            <b/>
            <sz val="9"/>
            <color indexed="81"/>
            <rFont val="Tahoma"/>
            <family val="2"/>
          </rPr>
          <t>Note:</t>
        </r>
        <r>
          <rPr>
            <sz val="9"/>
            <color indexed="81"/>
            <rFont val="Tahoma"/>
            <family val="2"/>
          </rPr>
          <t xml:space="preserve">
The R&amp;D budget is usually proportional to the product value. 
% of the manufacturing expenses.</t>
        </r>
      </text>
    </comment>
    <comment ref="T45" authorId="1" shapeId="0" xr:uid="{9F3A183F-2E07-4420-9F6C-90B0AF6BE953}">
      <text>
        <r>
          <rPr>
            <b/>
            <sz val="9"/>
            <color indexed="81"/>
            <rFont val="Tahoma"/>
            <family val="2"/>
          </rPr>
          <t>Note:</t>
        </r>
        <r>
          <rPr>
            <sz val="9"/>
            <color indexed="81"/>
            <rFont val="Tahoma"/>
            <family val="2"/>
          </rPr>
          <t xml:space="preserve">
-Working capital covers the inventory of raw materials, products, solvents, catalysts, spare parts, as well as outstanding invoices and payments that need to be done in advance.
</t>
        </r>
      </text>
    </comment>
    <comment ref="AA45" authorId="0" shapeId="0" xr:uid="{35AD58C0-AD13-4607-B322-1EC6D8C4C1BC}">
      <text>
        <r>
          <rPr>
            <b/>
            <sz val="9"/>
            <color indexed="81"/>
            <rFont val="Tahoma"/>
            <family val="2"/>
          </rPr>
          <t>Note:</t>
        </r>
        <r>
          <rPr>
            <sz val="9"/>
            <color indexed="81"/>
            <rFont val="Tahoma"/>
            <family val="2"/>
          </rPr>
          <t xml:space="preserve">
The R&amp;D budget is usually proportional to the product value. 
% of the manufacturing expenses.</t>
        </r>
      </text>
    </comment>
    <comment ref="K47" authorId="0" shapeId="0" xr:uid="{23BB2A19-0890-44F1-8917-19DB6CEC373F}">
      <text>
        <r>
          <rPr>
            <b/>
            <sz val="9"/>
            <color indexed="81"/>
            <rFont val="Tahoma"/>
            <family val="2"/>
          </rPr>
          <t>Note:</t>
        </r>
        <r>
          <rPr>
            <sz val="9"/>
            <color indexed="81"/>
            <rFont val="Tahoma"/>
            <family val="2"/>
          </rPr>
          <t xml:space="preserve">
Depreciation denotes the loss in value. Although in chemical processing, a well-designed and properly maintained plant does not necessarily wear out and decline in value, it is an important element in process economics. Traditionally, chemical industry has used a depreciation time of 10 years. However, in other industries like refining and energy production, much longer timeframes of up to 25 or 40 years are commonly used. For new products with unpredictable sales forecasts or for higher risk projects shorter depreciation times than 10 years may be demanded. Also, the selected depreciation rate can depend on tax allowances or related financial consequences.</t>
        </r>
      </text>
    </comment>
    <comment ref="AA47" authorId="0" shapeId="0" xr:uid="{A47F06B4-31C8-45EC-B13A-8D0434454657}">
      <text>
        <r>
          <rPr>
            <b/>
            <sz val="9"/>
            <color indexed="81"/>
            <rFont val="Tahoma"/>
            <family val="2"/>
          </rPr>
          <t>Note:</t>
        </r>
        <r>
          <rPr>
            <sz val="9"/>
            <color indexed="81"/>
            <rFont val="Tahoma"/>
            <family val="2"/>
          </rPr>
          <t xml:space="preserve">
Depreciation denotes the loss in value. Although in chemical processing, a well-designed and properly maintained plant does not necessarily wear out and decline in value, it is an important element in process economics. Traditionally, chemical industry has used a depreciation time of 10 years. However, in other industries like refining and energy production, much longer timeframes of up to 25 or 40 years are commonly used. For new products with unpredictable sales forecasts or for higher risk projects shorter depreciation times than 10 years may be demanded. Also, the selected depreciation rate can depend on tax allowances or related financial consequences.</t>
        </r>
      </text>
    </comment>
    <comment ref="K49" authorId="0" shapeId="0" xr:uid="{61532C34-D0BF-40BC-995D-A905B0BB3F04}">
      <text>
        <r>
          <rPr>
            <b/>
            <sz val="9"/>
            <color indexed="81"/>
            <rFont val="Tahoma"/>
            <family val="2"/>
          </rPr>
          <t>Note:</t>
        </r>
        <r>
          <rPr>
            <sz val="9"/>
            <color indexed="81"/>
            <rFont val="Tahoma"/>
            <family val="2"/>
          </rPr>
          <t xml:space="preserve">
Instead of calculating a rate of return the cost of financing (interest or expected rate of return) is added to calculate the total manufacturing cost. 
% of the total capital investment.</t>
        </r>
      </text>
    </comment>
    <comment ref="AA49" authorId="0" shapeId="0" xr:uid="{99D9798A-D19B-4332-9CAB-456B38A134C2}">
      <text>
        <r>
          <rPr>
            <b/>
            <sz val="9"/>
            <color indexed="81"/>
            <rFont val="Tahoma"/>
            <family val="2"/>
          </rPr>
          <t>Note:</t>
        </r>
        <r>
          <rPr>
            <sz val="9"/>
            <color indexed="81"/>
            <rFont val="Tahoma"/>
            <family val="2"/>
          </rPr>
          <t xml:space="preserve">
Instead of calculating a rate of return the cost of financing (interest or expected rate of return) is added to calculate the total manufacturing cost. As a first estimate financing cost are estimated as 
% of the total capital investment.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Sadaf Savadkouhi</author>
    <author>Sadaf Soleimani</author>
  </authors>
  <commentList>
    <comment ref="B26" authorId="0" shapeId="0" xr:uid="{3B0EDD06-7924-4105-9641-3FE0B1B07645}">
      <text>
        <r>
          <rPr>
            <b/>
            <sz val="9"/>
            <color indexed="81"/>
            <rFont val="Tahoma"/>
            <family val="2"/>
          </rPr>
          <t>Note:</t>
        </r>
        <r>
          <rPr>
            <sz val="9"/>
            <color indexed="81"/>
            <rFont val="Tahoma"/>
            <family val="2"/>
          </rPr>
          <t xml:space="preserve">
-Use the supplementary table
-Make sure to use either HHV or LHV during the calculation  
</t>
        </r>
      </text>
    </comment>
    <comment ref="B27" authorId="0" shapeId="0" xr:uid="{1C331AD5-051E-4731-A162-663645A1F710}">
      <text>
        <r>
          <rPr>
            <b/>
            <sz val="9"/>
            <color indexed="81"/>
            <rFont val="Tahoma"/>
            <family val="2"/>
          </rPr>
          <t>Note:</t>
        </r>
        <r>
          <rPr>
            <sz val="9"/>
            <color indexed="81"/>
            <rFont val="Tahoma"/>
            <family val="2"/>
          </rPr>
          <t xml:space="preserve">
-Use the supplementary table 
-Make sure to use either HHV or LHV during the calculation  </t>
        </r>
      </text>
    </comment>
    <comment ref="E29" authorId="1" shapeId="0" xr:uid="{D1C145C3-5146-43FD-9476-47C72CF783A0}">
      <text>
        <r>
          <rPr>
            <b/>
            <sz val="9"/>
            <color indexed="81"/>
            <rFont val="Tahoma"/>
            <family val="2"/>
          </rPr>
          <t>Note:</t>
        </r>
        <r>
          <rPr>
            <sz val="9"/>
            <color indexed="81"/>
            <rFont val="Tahoma"/>
            <family val="2"/>
          </rPr>
          <t xml:space="preserve">
-Use the supplementary table 
-Make sure to use either HHV or LHV during the calculation  </t>
        </r>
      </text>
    </comment>
    <comment ref="F29" authorId="1" shapeId="0" xr:uid="{92054644-FBBB-4CCB-B3C6-9A15167ACF0A}">
      <text>
        <r>
          <rPr>
            <b/>
            <sz val="9"/>
            <color indexed="81"/>
            <rFont val="Tahoma"/>
            <family val="2"/>
          </rPr>
          <t>Note:</t>
        </r>
        <r>
          <rPr>
            <sz val="9"/>
            <color indexed="81"/>
            <rFont val="Tahoma"/>
            <family val="2"/>
          </rPr>
          <t xml:space="preserve">
-Use the supplementary table 
-Make sure to use either HHV or LHV during the calculation  </t>
        </r>
      </text>
    </comment>
    <comment ref="G29" authorId="1" shapeId="0" xr:uid="{CC4C2E27-8555-430D-AEFA-972B9E23A2CC}">
      <text>
        <r>
          <rPr>
            <b/>
            <sz val="9"/>
            <color indexed="81"/>
            <rFont val="Tahoma"/>
            <family val="2"/>
          </rPr>
          <t>Note:</t>
        </r>
        <r>
          <rPr>
            <sz val="9"/>
            <color indexed="81"/>
            <rFont val="Tahoma"/>
            <family val="2"/>
          </rPr>
          <t xml:space="preserve">
-Use the supplementary table 
-Make sure to use either HHV or LHV during the calculation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Sadaf Savadkouhi</author>
    <author>Note:</author>
  </authors>
  <commentList>
    <comment ref="C5" authorId="0" shapeId="0" xr:uid="{37748A0A-2738-4607-A1F4-CABF0D52F6F6}">
      <text>
        <r>
          <rPr>
            <b/>
            <sz val="9"/>
            <color indexed="81"/>
            <rFont val="Tahoma"/>
            <family val="2"/>
          </rPr>
          <t xml:space="preserve">For inspiration: </t>
        </r>
        <r>
          <rPr>
            <sz val="9"/>
            <color indexed="81"/>
            <rFont val="Tahoma"/>
            <family val="2"/>
          </rPr>
          <t xml:space="preserve">
-Possibility to pay employees based on the labor law 
-Impact on the employees' salary compared to the average salary to have a decent living
</t>
        </r>
      </text>
    </comment>
    <comment ref="C6" authorId="0" shapeId="0" xr:uid="{5B78E8E1-B981-4EB7-BC60-C60D4F28557C}">
      <text>
        <r>
          <rPr>
            <b/>
            <sz val="9"/>
            <color indexed="81"/>
            <rFont val="Tahoma"/>
            <family val="2"/>
          </rPr>
          <t xml:space="preserve">For inspiration: </t>
        </r>
        <r>
          <rPr>
            <sz val="9"/>
            <color indexed="81"/>
            <rFont val="Tahoma"/>
            <family val="2"/>
          </rPr>
          <t xml:space="preserve">
-Working hours must be in agreement with the labor regulations 
-Work contract must be followed and monitored during the working weeks
-Proper and fair days for sickness and holiday</t>
        </r>
      </text>
    </comment>
    <comment ref="C7" authorId="0" shapeId="0" xr:uid="{DBBF263A-F4D6-434F-A05A-1F55C420A462}">
      <text>
        <r>
          <rPr>
            <b/>
            <sz val="9"/>
            <color indexed="81"/>
            <rFont val="Tahoma"/>
            <family val="2"/>
          </rPr>
          <t xml:space="preserve">For inspiration: </t>
        </r>
        <r>
          <rPr>
            <sz val="9"/>
            <color indexed="81"/>
            <rFont val="Tahoma"/>
            <family val="2"/>
          </rPr>
          <t xml:space="preserve">
No preference regarding to race, color, religion, nationality, gender, sexual orientation, etc
 </t>
        </r>
      </text>
    </comment>
    <comment ref="C8" authorId="0" shapeId="0" xr:uid="{DA9DFA0F-65ED-455F-814B-2C5138D88CFD}">
      <text>
        <r>
          <rPr>
            <b/>
            <sz val="9"/>
            <color indexed="81"/>
            <rFont val="Tahoma"/>
            <family val="2"/>
          </rPr>
          <t xml:space="preserve">For inspiration: </t>
        </r>
        <r>
          <rPr>
            <sz val="9"/>
            <color indexed="81"/>
            <rFont val="Tahoma"/>
            <family val="2"/>
          </rPr>
          <t xml:space="preserve">
-Any safety issues for workers
-Any hazardous (toxic, explosive, acidic/base, carcinogenic, etc.) materials that threaten the workers' health</t>
        </r>
      </text>
    </comment>
    <comment ref="C11" authorId="0" shapeId="0" xr:uid="{3BDEF6C9-51BA-4F43-9C2E-BA0CD29A1099}">
      <text>
        <r>
          <rPr>
            <b/>
            <sz val="9"/>
            <color indexed="81"/>
            <rFont val="Tahoma"/>
            <family val="2"/>
          </rPr>
          <t xml:space="preserve">For inspiration: </t>
        </r>
        <r>
          <rPr>
            <sz val="9"/>
            <color indexed="81"/>
            <rFont val="Tahoma"/>
            <family val="2"/>
          </rPr>
          <t xml:space="preserve">
Any safety or health issues for consumers</t>
        </r>
      </text>
    </comment>
    <comment ref="C12" authorId="0" shapeId="0" xr:uid="{4A309B2C-9B03-4573-AF67-725DD9D6A165}">
      <text>
        <r>
          <rPr>
            <b/>
            <sz val="9"/>
            <color indexed="81"/>
            <rFont val="Tahoma"/>
            <family val="2"/>
          </rPr>
          <t xml:space="preserve">For inspiration: </t>
        </r>
        <r>
          <rPr>
            <sz val="9"/>
            <color indexed="81"/>
            <rFont val="Tahoma"/>
            <family val="2"/>
          </rPr>
          <t xml:space="preserve">
-What is the mechanism for receiving feedback? 
-How easy is the communication?</t>
        </r>
      </text>
    </comment>
    <comment ref="C13" authorId="0" shapeId="0" xr:uid="{E6CF717D-D449-49E7-9808-89CC07C4EB2B}">
      <text>
        <r>
          <rPr>
            <b/>
            <sz val="9"/>
            <color indexed="81"/>
            <rFont val="Tahoma"/>
            <family val="2"/>
          </rPr>
          <t xml:space="preserve">For inspiration: </t>
        </r>
        <r>
          <rPr>
            <sz val="9"/>
            <color indexed="81"/>
            <rFont val="Tahoma"/>
            <family val="2"/>
          </rPr>
          <t xml:space="preserve">
-Is there any issues that need to be communicated transparently? 
-How transparent is the communication?
</t>
        </r>
      </text>
    </comment>
    <comment ref="C17" authorId="0" shapeId="0" xr:uid="{49A7DC43-DB4B-4FB2-A830-57ED7936657B}">
      <text>
        <r>
          <rPr>
            <b/>
            <sz val="9"/>
            <color indexed="81"/>
            <rFont val="Tahoma"/>
            <family val="2"/>
          </rPr>
          <t xml:space="preserve">For inspiration: </t>
        </r>
        <r>
          <rPr>
            <sz val="9"/>
            <color indexed="81"/>
            <rFont val="Tahoma"/>
            <family val="2"/>
          </rPr>
          <t xml:space="preserve">
-Is there any health impact on the local People? E.g. Water quality, soil quality, air pollutant, etc
-Is there any unpleasant noise or smell due to the process?
-Decommissioning impact on the living situation. </t>
        </r>
      </text>
    </comment>
    <comment ref="C18" authorId="0" shapeId="0" xr:uid="{80DF211B-0A80-4BEF-9340-17E62B56FCA8}">
      <text>
        <r>
          <rPr>
            <b/>
            <sz val="9"/>
            <color indexed="81"/>
            <rFont val="Tahoma"/>
            <family val="2"/>
          </rPr>
          <t xml:space="preserve">For inspiration: </t>
        </r>
        <r>
          <rPr>
            <sz val="9"/>
            <color indexed="81"/>
            <rFont val="Tahoma"/>
            <family val="2"/>
          </rPr>
          <t xml:space="preserve">
-How would be the impact of the process on hiring local people?</t>
        </r>
      </text>
    </comment>
    <comment ref="C20" authorId="0" shapeId="0" xr:uid="{96FF2952-4AA3-4537-BB18-12595AE3DFE6}">
      <text>
        <r>
          <rPr>
            <b/>
            <sz val="9"/>
            <color indexed="81"/>
            <rFont val="Tahoma"/>
            <family val="2"/>
          </rPr>
          <t xml:space="preserve">For inspiration: </t>
        </r>
        <r>
          <rPr>
            <sz val="9"/>
            <color indexed="81"/>
            <rFont val="Tahoma"/>
            <family val="2"/>
          </rPr>
          <t xml:space="preserve">
-any need to build a separate road?
-How will be the impact on the current traffic?</t>
        </r>
      </text>
    </comment>
    <comment ref="H20" authorId="0" shapeId="0" xr:uid="{812E4537-1895-43D8-AEF0-59D615A12192}">
      <text>
        <r>
          <rPr>
            <b/>
            <sz val="9"/>
            <color indexed="81"/>
            <rFont val="Tahoma"/>
            <family val="2"/>
          </rPr>
          <t>Note:</t>
        </r>
        <r>
          <rPr>
            <sz val="9"/>
            <color indexed="81"/>
            <rFont val="Tahoma"/>
            <family val="2"/>
          </rPr>
          <t xml:space="preserve">
10%-30% of operating labour</t>
        </r>
      </text>
    </comment>
    <comment ref="H21" authorId="0" shapeId="0" xr:uid="{A54B3C80-3CFB-4A0C-86B0-8BE2C97BA65E}">
      <text>
        <r>
          <rPr>
            <b/>
            <sz val="9"/>
            <color indexed="81"/>
            <rFont val="Tahoma"/>
            <family val="2"/>
          </rPr>
          <t>Note:</t>
        </r>
        <r>
          <rPr>
            <sz val="9"/>
            <color indexed="81"/>
            <rFont val="Tahoma"/>
            <family val="2"/>
          </rPr>
          <t xml:space="preserve">
4 to 6 times of operations and supervisions</t>
        </r>
      </text>
    </comment>
    <comment ref="C24" authorId="0" shapeId="0" xr:uid="{62272360-A676-4978-B28F-58A3F17CEE65}">
      <text>
        <r>
          <rPr>
            <b/>
            <sz val="9"/>
            <color indexed="81"/>
            <rFont val="Tahoma"/>
            <family val="2"/>
          </rPr>
          <t xml:space="preserve">For inspiration: </t>
        </r>
        <r>
          <rPr>
            <sz val="9"/>
            <color indexed="81"/>
            <rFont val="Tahoma"/>
            <family val="2"/>
          </rPr>
          <t xml:space="preserve">
-Check the Job creation table
-Evaluate the social impact based on the estimate of the number of jobs created within this value chain/life cycle</t>
        </r>
      </text>
    </comment>
    <comment ref="C25" authorId="0" shapeId="0" xr:uid="{C2C2BBDD-8349-435E-8992-450AD2E0F630}">
      <text>
        <r>
          <rPr>
            <b/>
            <sz val="9"/>
            <color indexed="81"/>
            <rFont val="Tahoma"/>
            <family val="2"/>
          </rPr>
          <t xml:space="preserve">For inspiration: </t>
        </r>
        <r>
          <rPr>
            <sz val="9"/>
            <color indexed="81"/>
            <rFont val="Tahoma"/>
            <family val="2"/>
          </rPr>
          <t xml:space="preserve">
-How is the impact of the process on developing the economic development of the area?</t>
        </r>
      </text>
    </comment>
    <comment ref="C26" authorId="0" shapeId="0" xr:uid="{1597FCF2-5F8E-4C68-AFD3-C2AD33A61658}">
      <text>
        <r>
          <rPr>
            <b/>
            <sz val="9"/>
            <color indexed="81"/>
            <rFont val="Tahoma"/>
            <family val="2"/>
          </rPr>
          <t xml:space="preserve">For inspiration: </t>
        </r>
        <r>
          <rPr>
            <sz val="9"/>
            <color indexed="81"/>
            <rFont val="Tahoma"/>
            <family val="2"/>
          </rPr>
          <t xml:space="preserve">
-How is the impact of the process to bring new ideas and develop the existed technologies in the area</t>
        </r>
      </text>
    </comment>
    <comment ref="H29" authorId="1" shapeId="0" xr:uid="{30AA89FD-27A9-46D7-BB67-BC073E7B6385}">
      <text>
        <r>
          <rPr>
            <b/>
            <sz val="9"/>
            <color indexed="81"/>
            <rFont val="Tahoma"/>
            <family val="2"/>
          </rPr>
          <t>Note::</t>
        </r>
        <r>
          <rPr>
            <sz val="9"/>
            <color indexed="81"/>
            <rFont val="Tahoma"/>
            <family val="2"/>
          </rPr>
          <t xml:space="preserve">
10%-30% of operating labour</t>
        </r>
      </text>
    </comment>
    <comment ref="C30" authorId="0" shapeId="0" xr:uid="{3C15A5D6-E27A-43B5-B1A5-F717FA19FBD0}">
      <text>
        <r>
          <rPr>
            <b/>
            <sz val="9"/>
            <color indexed="81"/>
            <rFont val="Tahoma"/>
            <family val="2"/>
          </rPr>
          <t xml:space="preserve">For inspiration: </t>
        </r>
        <r>
          <rPr>
            <sz val="9"/>
            <color indexed="81"/>
            <rFont val="Tahoma"/>
            <family val="2"/>
          </rPr>
          <t xml:space="preserve">
-Any impact on green areas like deforestation 
-Impact of the noise on local animals like birds, etc 
-Any risk of eutrophication, causing acid rain, etc
</t>
        </r>
      </text>
    </comment>
    <comment ref="H30" authorId="1" shapeId="0" xr:uid="{9B1A9526-4F1B-4D18-96B8-07BAF4E1D403}">
      <text>
        <r>
          <rPr>
            <b/>
            <sz val="9"/>
            <color indexed="81"/>
            <rFont val="Tahoma"/>
            <family val="2"/>
          </rPr>
          <t>Note::</t>
        </r>
        <r>
          <rPr>
            <sz val="9"/>
            <color indexed="81"/>
            <rFont val="Tahoma"/>
            <family val="2"/>
          </rPr>
          <t xml:space="preserve">
4 to 6 times of operations and supervisions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Rasmus Bach</author>
  </authors>
  <commentList>
    <comment ref="C5" authorId="0" shapeId="0" xr:uid="{0A6655CA-FFE6-4D50-9327-9AA3D2644C2B}">
      <text>
        <r>
          <rPr>
            <b/>
            <sz val="9"/>
            <color indexed="81"/>
            <rFont val="Tahoma"/>
            <family val="2"/>
          </rPr>
          <t xml:space="preserve">For inspiration: 
</t>
        </r>
        <r>
          <rPr>
            <sz val="9"/>
            <color indexed="81"/>
            <rFont val="Tahoma"/>
            <family val="2"/>
          </rPr>
          <t xml:space="preserve">Worthless result: ill-timed disclosure.
Worthless result: earlier patent exists.
Worthless result: better technology/methodology exists.
Worthless result: better technology/methodology exists.
Significant dependency on other technologies.
The life cycle of the new technology is too short.
Result aiming at replacing existing and well entrenched technologies
</t>
        </r>
      </text>
    </comment>
    <comment ref="C6" authorId="0" shapeId="0" xr:uid="{D7DAE6D5-4E83-4BBE-87BA-9D4187F8DA96}">
      <text>
        <r>
          <rPr>
            <b/>
            <sz val="9"/>
            <color indexed="81"/>
            <rFont val="Tahoma"/>
            <family val="2"/>
          </rPr>
          <t xml:space="preserve">For inspiration: 
</t>
        </r>
        <r>
          <rPr>
            <sz val="9"/>
            <color indexed="81"/>
            <rFont val="Tahoma"/>
            <family val="2"/>
          </rPr>
          <t xml:space="preserve">Worthless result: ill-timed disclosure.
Worthless result: earlier patent exists.
Worthless result: better technology/methodology exists.
Worthless result: better technology/methodology exists.
Significant dependency on other technologies.
The life cycle of the new technology is too short.
Result aiming at replacing existing and well entrenched technologies
</t>
        </r>
      </text>
    </comment>
    <comment ref="C7" authorId="0" shapeId="0" xr:uid="{68FC4488-C1DC-4C65-A156-6A3AE35BD800}">
      <text>
        <r>
          <rPr>
            <b/>
            <sz val="9"/>
            <color indexed="81"/>
            <rFont val="Tahoma"/>
            <family val="2"/>
          </rPr>
          <t xml:space="preserve">For inspiration: 
</t>
        </r>
        <r>
          <rPr>
            <sz val="9"/>
            <color indexed="81"/>
            <rFont val="Tahoma"/>
            <family val="2"/>
          </rPr>
          <t xml:space="preserve">Worthless result: ill-timed disclosure.
Worthless result: earlier patent exists.
Worthless result: better technology/methodology exists.
Worthless result: better technology/methodology exists.
Significant dependency on other technologies.
The life cycle of the new technology is too short.
Result aiming at replacing existing and well entrenched technologies
</t>
        </r>
      </text>
    </comment>
    <comment ref="C8" authorId="0" shapeId="0" xr:uid="{10BFD9CB-1728-4B2C-A3D8-0AD9F8BD8954}">
      <text>
        <r>
          <rPr>
            <b/>
            <sz val="9"/>
            <color indexed="81"/>
            <rFont val="Tahoma"/>
            <family val="2"/>
          </rPr>
          <t xml:space="preserve">For inspiration: 
</t>
        </r>
        <r>
          <rPr>
            <sz val="9"/>
            <color indexed="81"/>
            <rFont val="Tahoma"/>
            <family val="2"/>
          </rPr>
          <t xml:space="preserve">Worthless result: ill-timed disclosure.
Worthless result: earlier patent exists.
Worthless result: better technology/methodology exists.
Worthless result: better technology/methodology exists.
Significant dependency on other technologies.
The life cycle of the new technology is too short.
Result aiming at replacing existing and well entrenched technologies
</t>
        </r>
      </text>
    </comment>
    <comment ref="C9" authorId="0" shapeId="0" xr:uid="{DE35BF01-7D61-4FE7-934B-1AB8EB974D26}">
      <text>
        <r>
          <rPr>
            <b/>
            <sz val="9"/>
            <color indexed="81"/>
            <rFont val="Tahoma"/>
            <family val="2"/>
          </rPr>
          <t xml:space="preserve">For inspiration: 
</t>
        </r>
        <r>
          <rPr>
            <sz val="9"/>
            <color indexed="81"/>
            <rFont val="Tahoma"/>
            <family val="2"/>
          </rPr>
          <t xml:space="preserve">Worthless result: ill-timed disclosure.
Worthless result: earlier patent exists.
Worthless result: better technology/methodology exists.
Worthless result: better technology/methodology exists.
Significant dependency on other technologies.
The life cycle of the new technology is too short.
Result aiming at replacing existing and well entrenched technologies
</t>
        </r>
      </text>
    </comment>
    <comment ref="C11" authorId="0" shapeId="0" xr:uid="{599C3757-0A41-4B85-A22D-E419BB8D7CF9}">
      <text>
        <r>
          <rPr>
            <b/>
            <sz val="9"/>
            <color indexed="81"/>
            <rFont val="Tahoma"/>
            <family val="2"/>
          </rPr>
          <t>For inspiration:</t>
        </r>
        <r>
          <rPr>
            <sz val="9"/>
            <color indexed="81"/>
            <rFont val="Tahoma"/>
            <family val="2"/>
          </rPr>
          <t xml:space="preserve">
Research is socially or ethically unacceptable.
Environmental disturbance 
Changing the ecosystem</t>
        </r>
      </text>
    </comment>
    <comment ref="C12" authorId="0" shapeId="0" xr:uid="{7E333156-0A2C-4FF1-A44B-AD648EFCE7CF}">
      <text>
        <r>
          <rPr>
            <b/>
            <sz val="9"/>
            <color indexed="81"/>
            <rFont val="Tahoma"/>
            <family val="2"/>
          </rPr>
          <t xml:space="preserve">For inspiration:
</t>
        </r>
        <r>
          <rPr>
            <sz val="9"/>
            <color indexed="81"/>
            <rFont val="Tahoma"/>
            <family val="2"/>
          </rPr>
          <t xml:space="preserve">Research is socially or ethically unacceptable.
Environmental disturbance 
Changing the ecosystem
</t>
        </r>
      </text>
    </comment>
    <comment ref="C13" authorId="0" shapeId="0" xr:uid="{B6A56E31-FBC5-48A3-91D8-153C3F7B156C}">
      <text>
        <r>
          <rPr>
            <b/>
            <sz val="9"/>
            <color indexed="81"/>
            <rFont val="Tahoma"/>
            <family val="2"/>
          </rPr>
          <t xml:space="preserve">For inspiration:
</t>
        </r>
        <r>
          <rPr>
            <sz val="9"/>
            <color indexed="81"/>
            <rFont val="Tahoma"/>
            <family val="2"/>
          </rPr>
          <t xml:space="preserve">Research is socially or ethically unacceptable.
Environmental disturbance 
Changing the ecosystem
</t>
        </r>
      </text>
    </comment>
    <comment ref="C14" authorId="0" shapeId="0" xr:uid="{A7C70557-D24B-44C3-8D68-78EC3EF790AE}">
      <text>
        <r>
          <rPr>
            <b/>
            <sz val="9"/>
            <color indexed="81"/>
            <rFont val="Tahoma"/>
            <family val="2"/>
          </rPr>
          <t xml:space="preserve">For inspiration:
</t>
        </r>
        <r>
          <rPr>
            <sz val="9"/>
            <color indexed="81"/>
            <rFont val="Tahoma"/>
            <family val="2"/>
          </rPr>
          <t xml:space="preserve">Research is socially or ethically unacceptable.
Environmental disturbance 
Changing the ecosystem
</t>
        </r>
      </text>
    </comment>
    <comment ref="C15" authorId="0" shapeId="0" xr:uid="{99FE7B99-3E9B-4FD8-B6CB-FDEC1011843D}">
      <text>
        <r>
          <rPr>
            <b/>
            <sz val="9"/>
            <color indexed="81"/>
            <rFont val="Tahoma"/>
            <family val="2"/>
          </rPr>
          <t xml:space="preserve">For inspiration:
</t>
        </r>
        <r>
          <rPr>
            <sz val="9"/>
            <color indexed="81"/>
            <rFont val="Tahoma"/>
            <family val="2"/>
          </rPr>
          <t xml:space="preserve">Research is socially or ethically unacceptable.
Environmental disturbance 
Changing the ecosystem
</t>
        </r>
      </text>
    </comment>
    <comment ref="C17" authorId="0" shapeId="0" xr:uid="{960090CB-EB01-44E9-BECC-183D7839C158}">
      <text>
        <r>
          <rPr>
            <b/>
            <sz val="9"/>
            <color indexed="81"/>
            <rFont val="Tahoma"/>
            <family val="2"/>
          </rPr>
          <t xml:space="preserve">For inspiration: 
</t>
        </r>
        <r>
          <rPr>
            <sz val="9"/>
            <color indexed="81"/>
            <rFont val="Tahoma"/>
            <family val="2"/>
          </rPr>
          <t xml:space="preserve">Exploitation disagreement: partners on the same market.
Exploitation disagreement: partners with divergent interests.
Worthless result: performance lower than market needs.
Nobody buys the product. Nobody needs it.
Nobody buys the product. Too expensive.
Nobody buys the product. Unsuitable sales force.
Nobody buys the product. The project hits against a monopoly.
Nobody buys the product. Problems at the time of the first sales.
Nobody buys the product. Rejected by end-users.
Nobody buys the product. Our licensee is not exploiting his exclusive license.
</t>
        </r>
      </text>
    </comment>
    <comment ref="C18" authorId="0" shapeId="0" xr:uid="{DC8C92A3-7DB0-430F-8BEB-E34D194F3FF9}">
      <text>
        <r>
          <rPr>
            <b/>
            <sz val="9"/>
            <color indexed="81"/>
            <rFont val="Tahoma"/>
            <family val="2"/>
          </rPr>
          <t xml:space="preserve">For inspiration: 
</t>
        </r>
        <r>
          <rPr>
            <sz val="9"/>
            <color indexed="81"/>
            <rFont val="Tahoma"/>
            <family val="2"/>
          </rPr>
          <t xml:space="preserve">Exploitation disagreement: partners on the same market.
Exploitation disagreement: partners with divergent interests.
Worthless result: performance lower than market needs.
Nobody buys the product. Nobody needs it.
Nobody buys the product. Too expensive.
Nobody buys the product. Unsuitable sales force.
Nobody buys the product. The project hits against a monopoly.
Nobody buys the product. Problems at the time of the first sales.
Nobody buys the product. Rejected by end-users.
Nobody buys the product. Our licensee is not exploiting his exclusive license.
</t>
        </r>
      </text>
    </comment>
    <comment ref="C19" authorId="0" shapeId="0" xr:uid="{092D298A-1FDB-42E3-B4C4-B7B8951B1882}">
      <text>
        <r>
          <rPr>
            <b/>
            <sz val="9"/>
            <color indexed="81"/>
            <rFont val="Tahoma"/>
            <family val="2"/>
          </rPr>
          <t xml:space="preserve">For inspiration: 
</t>
        </r>
        <r>
          <rPr>
            <sz val="9"/>
            <color indexed="81"/>
            <rFont val="Tahoma"/>
            <family val="2"/>
          </rPr>
          <t xml:space="preserve">Exploitation disagreement: partners on the same market.
Exploitation disagreement: partners with divergent interests.
Worthless result: performance lower than market needs.
Nobody buys the product. Nobody needs it.
Nobody buys the product. Too expensive.
Nobody buys the product. Unsuitable sales force.
Nobody buys the product. The project hits against a monopoly.
Nobody buys the product. Problems at the time of the first sales.
Nobody buys the product. Rejected by end-users.
Nobody buys the product. Our licensee is not exploiting his exclusive license.
</t>
        </r>
      </text>
    </comment>
    <comment ref="C20" authorId="0" shapeId="0" xr:uid="{7EEFF846-5939-439F-A086-CA4E6ECB1C60}">
      <text>
        <r>
          <rPr>
            <b/>
            <sz val="9"/>
            <color indexed="81"/>
            <rFont val="Tahoma"/>
            <family val="2"/>
          </rPr>
          <t xml:space="preserve">For inspiration: 
</t>
        </r>
        <r>
          <rPr>
            <sz val="9"/>
            <color indexed="81"/>
            <rFont val="Tahoma"/>
            <family val="2"/>
          </rPr>
          <t xml:space="preserve">Exploitation disagreement: partners on the same market.
Exploitation disagreement: partners with divergent interests.
Worthless result: performance lower than market needs.
Nobody buys the product. Nobody needs it.
Nobody buys the product. Too expensive.
Nobody buys the product. Unsuitable sales force.
Nobody buys the product. The project hits against a monopoly.
Nobody buys the product. Problems at the time of the first sales.
Nobody buys the product. Rejected by end-users.
Nobody buys the product. Our licensee is not exploiting his exclusive license.
</t>
        </r>
      </text>
    </comment>
    <comment ref="C21" authorId="0" shapeId="0" xr:uid="{9AE7F431-C62F-4AC2-88AF-2226994C7EAF}">
      <text>
        <r>
          <rPr>
            <b/>
            <sz val="9"/>
            <color indexed="81"/>
            <rFont val="Tahoma"/>
            <family val="2"/>
          </rPr>
          <t xml:space="preserve">For inspiration: 
</t>
        </r>
        <r>
          <rPr>
            <sz val="9"/>
            <color indexed="81"/>
            <rFont val="Tahoma"/>
            <family val="2"/>
          </rPr>
          <t xml:space="preserve">Exploitation disagreement: partners on the same market.
Exploitation disagreement: partners with divergent interests.
Worthless result: performance lower than market needs.
Nobody buys the product. Nobody needs it.
Nobody buys the product. Too expensive.
Nobody buys the product. Unsuitable sales force.
Nobody buys the product. The project hits against a monopoly.
Nobody buys the product. Problems at the time of the first sales.
Nobody buys the product. Rejected by end-users.
Nobody buys the product. Our licensee is not exploiting his exclusive license.
</t>
        </r>
      </text>
    </comment>
    <comment ref="C23" authorId="0" shapeId="0" xr:uid="{0C5A6B3E-7CED-4FD3-BF65-068DB1FCAA4D}">
      <text>
        <r>
          <rPr>
            <b/>
            <sz val="9"/>
            <color indexed="81"/>
            <rFont val="Tahoma"/>
            <family val="2"/>
          </rPr>
          <t xml:space="preserve">For inspiration: 
</t>
        </r>
        <r>
          <rPr>
            <sz val="9"/>
            <color indexed="81"/>
            <rFont val="Tahoma"/>
            <family val="2"/>
          </rPr>
          <t>Disagreement on further investments: some partners may leave.
Industrialization at risk: no manufacturer for the exploitable result.
Industrialization at risk: an business partner leaves the market.
Industrialization at risk: a partner declares bankruptcy.
Disagreement on ownership rules
Partners break out and creat competitive products</t>
        </r>
      </text>
    </comment>
    <comment ref="C24" authorId="0" shapeId="0" xr:uid="{48A5DFC9-4C2A-4BF2-8431-8F98877C90E6}">
      <text>
        <r>
          <rPr>
            <b/>
            <sz val="9"/>
            <color indexed="81"/>
            <rFont val="Tahoma"/>
            <family val="2"/>
          </rPr>
          <t xml:space="preserve">For inspiration: 
</t>
        </r>
        <r>
          <rPr>
            <sz val="9"/>
            <color indexed="81"/>
            <rFont val="Tahoma"/>
            <family val="2"/>
          </rPr>
          <t>Disagreement on further investments: some partners may leave.
Industrialization at risk: no manufacturer for the exploitable result.
Industrialization at risk: an business partner leaves the market.
Industrialization at risk: a partner declares bankruptcy.
Disagreement on ownership rules
Partners break out and creat competitive products</t>
        </r>
      </text>
    </comment>
    <comment ref="C25" authorId="0" shapeId="0" xr:uid="{0681CF36-A02C-4C98-BA2C-EA354197C820}">
      <text>
        <r>
          <rPr>
            <b/>
            <sz val="9"/>
            <color indexed="81"/>
            <rFont val="Tahoma"/>
            <family val="2"/>
          </rPr>
          <t xml:space="preserve">For inspiration: 
</t>
        </r>
        <r>
          <rPr>
            <sz val="9"/>
            <color indexed="81"/>
            <rFont val="Tahoma"/>
            <family val="2"/>
          </rPr>
          <t>Disagreement on further investments: some partners may leave.
Industrialization at risk: no manufacturer for the exploitable result.
Industrialization at risk: an business partner leaves the market.
Industrialization at risk: a partner declares bankruptcy.
Disagreement on ownership rules
Partners break out and creat competitive products</t>
        </r>
      </text>
    </comment>
    <comment ref="C26" authorId="0" shapeId="0" xr:uid="{4346DB01-03CB-4BD8-9358-351AFF841979}">
      <text>
        <r>
          <rPr>
            <b/>
            <sz val="9"/>
            <color indexed="81"/>
            <rFont val="Tahoma"/>
            <family val="2"/>
          </rPr>
          <t xml:space="preserve">For inspiration: 
</t>
        </r>
        <r>
          <rPr>
            <sz val="9"/>
            <color indexed="81"/>
            <rFont val="Tahoma"/>
            <family val="2"/>
          </rPr>
          <t>Disagreement on further investments: some partners may leave.
Industrialization at risk: no manufacturer for the exploitable result.
Industrialization at risk: an business partner leaves the market.
Industrialization at risk: a partner declares bankruptcy.
Disagreement on ownership rules
Partners break out and creat competitive products</t>
        </r>
      </text>
    </comment>
    <comment ref="C27" authorId="0" shapeId="0" xr:uid="{20D511A3-4DCF-4E2A-A67C-C033C8A58A48}">
      <text>
        <r>
          <rPr>
            <b/>
            <sz val="9"/>
            <color indexed="81"/>
            <rFont val="Tahoma"/>
            <family val="2"/>
          </rPr>
          <t xml:space="preserve">For inspiration: 
</t>
        </r>
        <r>
          <rPr>
            <sz val="9"/>
            <color indexed="81"/>
            <rFont val="Tahoma"/>
            <family val="2"/>
          </rPr>
          <t>Disagreement on further investments: some partners may leave.
Industrialization at risk: no manufacturer for the exploitable result.
Industrialization at risk: an business partner leaves the market.
Industrialization at risk: a partner declares bankruptcy.
Disagreement on ownership rules
Partners break out and creat competitive products</t>
        </r>
      </text>
    </comment>
    <comment ref="C29" authorId="0" shapeId="0" xr:uid="{1CB2D5F7-1383-43E2-A8DC-A8E0633A420D}">
      <text>
        <r>
          <rPr>
            <b/>
            <sz val="9"/>
            <color indexed="81"/>
            <rFont val="Tahoma"/>
            <family val="2"/>
          </rPr>
          <t xml:space="preserve">For inspiration:
</t>
        </r>
        <r>
          <rPr>
            <sz val="9"/>
            <color indexed="81"/>
            <rFont val="Tahoma"/>
            <family val="2"/>
          </rPr>
          <t xml:space="preserve">Know- how risks: there are leaks of confidential information.
Multiple changes to original objectives.
Inadequate communication among partners.
Lack of endorsement from top management
Weak exploitation: Inadequate business plan
No resources (human and/or financial) secured to make the next step toward exploitation
Off time supply of financial means.
</t>
        </r>
      </text>
    </comment>
    <comment ref="C30" authorId="0" shapeId="0" xr:uid="{CDD35C46-A83D-40CA-8BF6-18CB71173BBD}">
      <text>
        <r>
          <rPr>
            <b/>
            <sz val="9"/>
            <color indexed="81"/>
            <rFont val="Tahoma"/>
            <family val="2"/>
          </rPr>
          <t xml:space="preserve">For inspiration:
</t>
        </r>
        <r>
          <rPr>
            <sz val="9"/>
            <color indexed="81"/>
            <rFont val="Tahoma"/>
            <family val="2"/>
          </rPr>
          <t xml:space="preserve">Know- how risks: there are leaks of confidential information.
Multiple changes to original objectives.
Inadequate communication among partners.
Lack of endorsement from top management
Weak exploitation: Inadequate business plan
No resources (human and/or financial) secured to make the next step toward exploitation
Off time supply of financial means.
</t>
        </r>
      </text>
    </comment>
    <comment ref="C31" authorId="0" shapeId="0" xr:uid="{DAA404A6-DCB3-4233-9B8B-832290AE09F6}">
      <text>
        <r>
          <rPr>
            <b/>
            <sz val="9"/>
            <color indexed="81"/>
            <rFont val="Tahoma"/>
            <family val="2"/>
          </rPr>
          <t xml:space="preserve">For inspiration:
</t>
        </r>
        <r>
          <rPr>
            <sz val="9"/>
            <color indexed="81"/>
            <rFont val="Tahoma"/>
            <family val="2"/>
          </rPr>
          <t xml:space="preserve">Know- how risks: there are leaks of confidential information.
Multiple changes to original objectives.
Inadequate communication among partners.
Lack of endorsement from top management
Weak exploitation: Inadequate business plan
No resources (human and/or financial) secured to make the next step toward exploitation
Off time supply of financial means.
</t>
        </r>
      </text>
    </comment>
    <comment ref="C32" authorId="0" shapeId="0" xr:uid="{F23F02EB-36AC-4225-82C8-3E2D16580FFA}">
      <text>
        <r>
          <rPr>
            <b/>
            <sz val="9"/>
            <color indexed="81"/>
            <rFont val="Tahoma"/>
            <family val="2"/>
          </rPr>
          <t xml:space="preserve">For inspiration:
</t>
        </r>
        <r>
          <rPr>
            <sz val="9"/>
            <color indexed="81"/>
            <rFont val="Tahoma"/>
            <family val="2"/>
          </rPr>
          <t xml:space="preserve">Know- how risks: there are leaks of confidential information.
Multiple changes to original objectives.
Inadequate communication among partners.
Lack of endorsement from top management
Weak exploitation: Inadequate business plan
No resources (human and/or financial) secured to make the next step toward exploitation
Off time supply of financial means.
</t>
        </r>
      </text>
    </comment>
    <comment ref="C33" authorId="0" shapeId="0" xr:uid="{12950C40-BD70-40D3-9002-3AAB72CA54AE}">
      <text>
        <r>
          <rPr>
            <b/>
            <sz val="9"/>
            <color indexed="81"/>
            <rFont val="Tahoma"/>
            <family val="2"/>
          </rPr>
          <t xml:space="preserve">For inspiration:
</t>
        </r>
        <r>
          <rPr>
            <sz val="9"/>
            <color indexed="81"/>
            <rFont val="Tahoma"/>
            <family val="2"/>
          </rPr>
          <t xml:space="preserve">Know- how risks: there are leaks of confidential information.
Multiple changes to original objectives.
Inadequate communication among partners.
Lack of endorsement from top management
Weak exploitation: Inadequate business plan
No resources (human and/or financial) secured to make the next step toward exploitation
Off time supply of financial means.
</t>
        </r>
      </text>
    </comment>
    <comment ref="C35" authorId="0" shapeId="0" xr:uid="{1611299C-DE1B-462C-A6BF-A7A50380F1B6}">
      <text>
        <r>
          <rPr>
            <b/>
            <sz val="9"/>
            <color indexed="81"/>
            <rFont val="Tahoma"/>
            <family val="2"/>
          </rPr>
          <t xml:space="preserve">For inspiration: </t>
        </r>
        <r>
          <rPr>
            <sz val="9"/>
            <color indexed="81"/>
            <rFont val="Tahoma"/>
            <family val="2"/>
          </rPr>
          <t xml:space="preserve">
Influence of laws and regulations.
Product/service does not comply with the standards.
Legal problems: proceeding against us.
Legal problems: we are sued for patent infringement.
Know- how risks: it is easy to counterfeit the patent.
Know- how risks: a counterfeit cannot be proved.
Know- how risks: the patent application is rejected.</t>
        </r>
      </text>
    </comment>
    <comment ref="C36" authorId="0" shapeId="0" xr:uid="{384FEF08-F296-45CB-99F4-DDF80C4D381D}">
      <text>
        <r>
          <rPr>
            <b/>
            <sz val="9"/>
            <color indexed="81"/>
            <rFont val="Tahoma"/>
            <family val="2"/>
          </rPr>
          <t xml:space="preserve">For inspiration: 
</t>
        </r>
        <r>
          <rPr>
            <sz val="9"/>
            <color indexed="81"/>
            <rFont val="Tahoma"/>
            <family val="2"/>
          </rPr>
          <t>Influence of laws and regulations.
Product/service does not comply with the standards.
Legal problems: proceeding against us.
Legal problems: we are sued for patent infringement.
Know- how risks: it is easy to counterfeit the patent.
Know- how risks: a counterfeit cannot be proved.
Know- how risks: the patent application is rejected.</t>
        </r>
      </text>
    </comment>
    <comment ref="C37" authorId="0" shapeId="0" xr:uid="{D7867C8E-F8AE-406B-98D0-FE8B9F1232C4}">
      <text>
        <r>
          <rPr>
            <b/>
            <sz val="9"/>
            <color indexed="81"/>
            <rFont val="Tahoma"/>
            <family val="2"/>
          </rPr>
          <t xml:space="preserve">For inspiration: 
</t>
        </r>
        <r>
          <rPr>
            <sz val="9"/>
            <color indexed="81"/>
            <rFont val="Tahoma"/>
            <family val="2"/>
          </rPr>
          <t xml:space="preserve">Influence of laws and regulations.
Product/service does not comply with the standards.
Legal problems: proceeding against us.
Legal problems: we are sued for patent infringement.
Know- how risks: it is easy to counterfeit the patent.
Know- how risks: a counterfeit cannot be proved.
Know- how risks: the patent application is rejected.
</t>
        </r>
      </text>
    </comment>
    <comment ref="C38" authorId="0" shapeId="0" xr:uid="{520D7204-49DB-4579-8749-9840BCC163A1}">
      <text>
        <r>
          <rPr>
            <b/>
            <sz val="9"/>
            <color indexed="81"/>
            <rFont val="Tahoma"/>
            <family val="2"/>
          </rPr>
          <t xml:space="preserve">For inspiration: 
</t>
        </r>
        <r>
          <rPr>
            <sz val="9"/>
            <color indexed="81"/>
            <rFont val="Tahoma"/>
            <family val="2"/>
          </rPr>
          <t xml:space="preserve">Influence of laws and regulations.
Product/service does not comply with the standards.
Legal problems: proceeding against us.
Legal problems: we are sued for patent infringement.
Know- how risks: it is easy to counterfeit the patent.
Know- how risks: a counterfeit cannot be proved.
Know- how risks: the patent application is rejected.
</t>
        </r>
      </text>
    </comment>
    <comment ref="C39" authorId="0" shapeId="0" xr:uid="{870B0FCE-7210-4929-8B03-38AFA74C6742}">
      <text>
        <r>
          <rPr>
            <b/>
            <sz val="9"/>
            <color indexed="81"/>
            <rFont val="Tahoma"/>
            <family val="2"/>
          </rPr>
          <t xml:space="preserve">For inspiration: 
</t>
        </r>
        <r>
          <rPr>
            <sz val="9"/>
            <color indexed="81"/>
            <rFont val="Tahoma"/>
            <family val="2"/>
          </rPr>
          <t xml:space="preserve">Influence of laws and regulations.
Product/service does not comply with the standards.
Legal problems: proceeding against us.
Legal problems: we are sued for patent infringement.
Know- how risks: it is easy to counterfeit the patent.
Know- how risks: a counterfeit cannot be proved.
Know- how risks: the patent application is rejected.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<sst xmlns="http://schemas.openxmlformats.org/spreadsheetml/2006/main" count="1244" uniqueCount="567">
  <si>
    <t>w%</t>
  </si>
  <si>
    <t>w (t/h)</t>
  </si>
  <si>
    <t>sum</t>
  </si>
  <si>
    <t>Yield</t>
  </si>
  <si>
    <t>Allocation factor</t>
  </si>
  <si>
    <t>Total Mass balance</t>
  </si>
  <si>
    <t>VGO input to Co-FCC</t>
  </si>
  <si>
    <t>t/hr</t>
  </si>
  <si>
    <t>Yield factor</t>
  </si>
  <si>
    <t>total mass balance Result</t>
  </si>
  <si>
    <t>Energy balance Result</t>
  </si>
  <si>
    <t>Energy balance</t>
  </si>
  <si>
    <t xml:space="preserve">Carbon mass balance </t>
  </si>
  <si>
    <t>Carbon mass balance Result</t>
  </si>
  <si>
    <t>observed mass balance Result</t>
  </si>
  <si>
    <t>Normalized observed mass balance Result</t>
  </si>
  <si>
    <t xml:space="preserve">Observed mass balance </t>
  </si>
  <si>
    <t xml:space="preserve">Normalized factor </t>
  </si>
  <si>
    <t>C in biomass</t>
  </si>
  <si>
    <t>C ends up in CO2</t>
  </si>
  <si>
    <t xml:space="preserve">C ends up in CO </t>
  </si>
  <si>
    <t>Test 1</t>
  </si>
  <si>
    <t xml:space="preserve">Test 3 (Optional) </t>
  </si>
  <si>
    <t>Test 2 (Optional)</t>
  </si>
  <si>
    <t>Test 2</t>
  </si>
  <si>
    <t>Test 3</t>
  </si>
  <si>
    <t>Test 1(%)</t>
  </si>
  <si>
    <t>Test 2(%)</t>
  </si>
  <si>
    <t>Test 3(%)</t>
  </si>
  <si>
    <t>Main inputs which are needed for most of the methods</t>
  </si>
  <si>
    <t>Input</t>
  </si>
  <si>
    <t>Color Code</t>
  </si>
  <si>
    <t>Input is needed</t>
  </si>
  <si>
    <t xml:space="preserve">Percentage VGO </t>
  </si>
  <si>
    <t>Reference</t>
  </si>
  <si>
    <t>Water mass</t>
  </si>
  <si>
    <t>%</t>
  </si>
  <si>
    <t>Observed mass balance method</t>
  </si>
  <si>
    <t>Total mass balance method</t>
  </si>
  <si>
    <t>Energy balance method</t>
  </si>
  <si>
    <t>CO2 mass</t>
  </si>
  <si>
    <t>CO mass</t>
  </si>
  <si>
    <t>Main input</t>
  </si>
  <si>
    <t>t/h</t>
  </si>
  <si>
    <t>cooling water</t>
  </si>
  <si>
    <t>Fresh water</t>
  </si>
  <si>
    <t>Nitrogen</t>
  </si>
  <si>
    <t>Steam</t>
  </si>
  <si>
    <t xml:space="preserve">Electricity </t>
  </si>
  <si>
    <t>INPUT</t>
  </si>
  <si>
    <t>Feedstock 2</t>
  </si>
  <si>
    <t>Feedstock 3</t>
  </si>
  <si>
    <t>Feedstock 4</t>
  </si>
  <si>
    <t xml:space="preserve">Utilities </t>
  </si>
  <si>
    <t>Hydrogen</t>
  </si>
  <si>
    <t xml:space="preserve">Transport </t>
  </si>
  <si>
    <t>km</t>
  </si>
  <si>
    <t>tCO2eq/h</t>
  </si>
  <si>
    <t>FP</t>
  </si>
  <si>
    <t xml:space="preserve">Upgrading </t>
  </si>
  <si>
    <t>Sulfiding agent</t>
  </si>
  <si>
    <t>IX resin</t>
  </si>
  <si>
    <t xml:space="preserve">Raw material/Products </t>
  </si>
  <si>
    <t>Wastewater</t>
  </si>
  <si>
    <t xml:space="preserve"> tCO2eq/t</t>
  </si>
  <si>
    <t xml:space="preserve">Carbon Intense </t>
  </si>
  <si>
    <t>kW</t>
  </si>
  <si>
    <t>NA</t>
  </si>
  <si>
    <t>Unit</t>
  </si>
  <si>
    <t xml:space="preserve">Greenhouse Emission </t>
  </si>
  <si>
    <t>Contingency</t>
  </si>
  <si>
    <t xml:space="preserve">Module capital cost </t>
  </si>
  <si>
    <t>Grass roots capital</t>
  </si>
  <si>
    <t>Land cost</t>
  </si>
  <si>
    <t xml:space="preserve">Others </t>
  </si>
  <si>
    <t xml:space="preserve">Start-up expenses </t>
  </si>
  <si>
    <t xml:space="preserve">Capital cost calculation </t>
  </si>
  <si>
    <t>Total bare module cost</t>
  </si>
  <si>
    <t xml:space="preserve">Total module capital cost </t>
  </si>
  <si>
    <t xml:space="preserve">Total grass roots capital </t>
  </si>
  <si>
    <t xml:space="preserve">Total capital investments </t>
  </si>
  <si>
    <t>INPUT (Manufacturing expenses)</t>
  </si>
  <si>
    <t>INPUT (Capital cost)</t>
  </si>
  <si>
    <t>Direct</t>
  </si>
  <si>
    <t>Raw materials</t>
  </si>
  <si>
    <t>Co-products and waste streams</t>
  </si>
  <si>
    <t xml:space="preserve">Indirect </t>
  </si>
  <si>
    <t>Overhead, packaging, and storage</t>
  </si>
  <si>
    <t>local taxes</t>
  </si>
  <si>
    <t>insurance</t>
  </si>
  <si>
    <t>General expenses</t>
  </si>
  <si>
    <t>Administrative costs</t>
  </si>
  <si>
    <t>distributing and selling</t>
  </si>
  <si>
    <t>Research and development</t>
  </si>
  <si>
    <t>Depreciation</t>
  </si>
  <si>
    <t>Financing</t>
  </si>
  <si>
    <t>Site development</t>
  </si>
  <si>
    <t>Auxilary buildings</t>
  </si>
  <si>
    <t>Off-site facilities</t>
  </si>
  <si>
    <t>Working capital</t>
  </si>
  <si>
    <t>Catalysts</t>
  </si>
  <si>
    <t>Operating labour</t>
  </si>
  <si>
    <t>Supervisory and clerical labour</t>
  </si>
  <si>
    <t>Utilities</t>
  </si>
  <si>
    <t>Maintenance and repairs</t>
  </si>
  <si>
    <t>Operating supplies</t>
  </si>
  <si>
    <t>Laboratory charges</t>
  </si>
  <si>
    <t>Patents and royalties</t>
  </si>
  <si>
    <t>Local taxes</t>
  </si>
  <si>
    <t>Insurance</t>
  </si>
  <si>
    <t>Distributing and selling</t>
  </si>
  <si>
    <t>Indirect</t>
  </si>
  <si>
    <t xml:space="preserve">Total manufacturing expenses </t>
  </si>
  <si>
    <t xml:space="preserve">Manufacturing expenses calculation </t>
  </si>
  <si>
    <t>Manufacturing product cost price</t>
  </si>
  <si>
    <t xml:space="preserve">Total direct </t>
  </si>
  <si>
    <t>Total indirect</t>
  </si>
  <si>
    <t xml:space="preserve">Total general expenses </t>
  </si>
  <si>
    <t xml:space="preserve">Total financing </t>
  </si>
  <si>
    <t>Total depreciation</t>
  </si>
  <si>
    <t>FP/HTL</t>
  </si>
  <si>
    <t>Percentage FPBO/SDP/SDPO</t>
  </si>
  <si>
    <t>Carbon balance method</t>
  </si>
  <si>
    <t>Feedstock</t>
  </si>
  <si>
    <t>LHV (MJ/kg)</t>
  </si>
  <si>
    <t>HHV (MJ/kg)</t>
  </si>
  <si>
    <t>FPBO/HTL-oil</t>
  </si>
  <si>
    <t>Product</t>
  </si>
  <si>
    <t>MJ/kg</t>
  </si>
  <si>
    <t>GCT</t>
  </si>
  <si>
    <t>Distance 1 (road)</t>
  </si>
  <si>
    <t>Distance 2 (train)</t>
  </si>
  <si>
    <t>Distance 3 (ship)</t>
  </si>
  <si>
    <t>Distance 4 (plane)</t>
  </si>
  <si>
    <t>Number of shifts</t>
  </si>
  <si>
    <t>Indirect job factor</t>
  </si>
  <si>
    <t>Inlet Stream (I1)</t>
  </si>
  <si>
    <t>Inlet Stream (I2)</t>
  </si>
  <si>
    <t>Utility Inlet (U1)</t>
  </si>
  <si>
    <t>Outlet Stream (O1)</t>
  </si>
  <si>
    <t>Outlet Stream (O3)</t>
  </si>
  <si>
    <t>I1</t>
  </si>
  <si>
    <t>O1</t>
  </si>
  <si>
    <t>U1</t>
  </si>
  <si>
    <t>I2</t>
  </si>
  <si>
    <t>O3</t>
  </si>
  <si>
    <t>U2</t>
  </si>
  <si>
    <t>Purge stream (Off-gas)</t>
  </si>
  <si>
    <t>Refinery</t>
  </si>
  <si>
    <t>I3</t>
  </si>
  <si>
    <t>P1</t>
  </si>
  <si>
    <t>Fossil fuel (I3)</t>
  </si>
  <si>
    <t>Refinery products (P1)</t>
  </si>
  <si>
    <t>Total inlet Co-FCC unit</t>
  </si>
  <si>
    <t xml:space="preserve">Global warming potential </t>
  </si>
  <si>
    <t>Choose the feedstock</t>
  </si>
  <si>
    <t>Choose the technology for material factor</t>
  </si>
  <si>
    <t>Technology</t>
  </si>
  <si>
    <t xml:space="preserve"> kgCO2eq/t</t>
  </si>
  <si>
    <t>KgCO2eq/kWh</t>
  </si>
  <si>
    <t>Gasoline</t>
  </si>
  <si>
    <t>Green carbon tracking yield</t>
  </si>
  <si>
    <t>Sunflower husk</t>
  </si>
  <si>
    <t xml:space="preserve">Food waste </t>
  </si>
  <si>
    <t xml:space="preserve">Black liquor </t>
  </si>
  <si>
    <t>Global warming potential</t>
  </si>
  <si>
    <t>VGO</t>
  </si>
  <si>
    <t>MJ</t>
  </si>
  <si>
    <t>Supplementary Information
Global heat warming</t>
  </si>
  <si>
    <t>Supplementary Information
Heat value</t>
  </si>
  <si>
    <t>tCO2eq/MJ Product</t>
  </si>
  <si>
    <t>tCO2eq/MJ product</t>
  </si>
  <si>
    <t xml:space="preserve">Carbon intense </t>
  </si>
  <si>
    <t>Electricity (MJ/hr)</t>
  </si>
  <si>
    <t>Pressure (bar g)</t>
  </si>
  <si>
    <t>Steam heat value (MJ/kg)</t>
  </si>
  <si>
    <t>Cont.wood</t>
  </si>
  <si>
    <t>Food residues</t>
  </si>
  <si>
    <t>Saw dust</t>
  </si>
  <si>
    <t>HHV (MJ/Kg)</t>
  </si>
  <si>
    <t>LHV (MJ/Kg)</t>
  </si>
  <si>
    <t>Total based on LHV</t>
  </si>
  <si>
    <t>Total based on HHV</t>
  </si>
  <si>
    <t xml:space="preserve">Energy efficiency </t>
  </si>
  <si>
    <t>Feedstock efficiency (LHV based) (%)</t>
  </si>
  <si>
    <t>Feedstock efficiency (HHV based) (%)</t>
  </si>
  <si>
    <t xml:space="preserve">Product efficiency </t>
  </si>
  <si>
    <t xml:space="preserve">Utility efficiency </t>
  </si>
  <si>
    <t xml:space="preserve">This color shows the cell is calculated based on the input information </t>
  </si>
  <si>
    <t>The result and output</t>
  </si>
  <si>
    <t xml:space="preserve">The data is given as a suggestion, can be changed by user </t>
  </si>
  <si>
    <t>Supplementary information. Can be used to fill in the input</t>
  </si>
  <si>
    <t>Inventory</t>
  </si>
  <si>
    <t>GHG</t>
  </si>
  <si>
    <t>Economic</t>
  </si>
  <si>
    <t>Energy efficiency</t>
  </si>
  <si>
    <t>Social impact</t>
  </si>
  <si>
    <t xml:space="preserve">Risk evaluation </t>
  </si>
  <si>
    <t>Sheets name</t>
  </si>
  <si>
    <t xml:space="preserve">Explanation </t>
  </si>
  <si>
    <t xml:space="preserve">Abbreviation </t>
  </si>
  <si>
    <t>HTL</t>
  </si>
  <si>
    <t>Hydrothermal liquefaction</t>
  </si>
  <si>
    <t>Fast pyrolysis</t>
  </si>
  <si>
    <t>IX</t>
  </si>
  <si>
    <t>Ion exchange</t>
  </si>
  <si>
    <t>S(P/HTL)O</t>
  </si>
  <si>
    <t>(FP/HTL)BO</t>
  </si>
  <si>
    <t>Fast pyrolysis/HTL bio-oil</t>
  </si>
  <si>
    <t xml:space="preserve">S(P/HTL)O  </t>
  </si>
  <si>
    <t>SD(P/HTL)O</t>
  </si>
  <si>
    <t>Stabilized deoxigenated (pyrolysis/HTL) oil</t>
  </si>
  <si>
    <t xml:space="preserve">Stabilized pyrolysis/HTL oil </t>
  </si>
  <si>
    <t>Vaccum gas oil</t>
  </si>
  <si>
    <t>FCC</t>
  </si>
  <si>
    <t xml:space="preserve">Fluid catalytic cracking </t>
  </si>
  <si>
    <t>Contaminated wood</t>
  </si>
  <si>
    <t>SH</t>
  </si>
  <si>
    <t xml:space="preserve">Sunflower </t>
  </si>
  <si>
    <t>LHV</t>
  </si>
  <si>
    <t>Low heat value</t>
  </si>
  <si>
    <t>HHV</t>
  </si>
  <si>
    <t xml:space="preserve">High heat value </t>
  </si>
  <si>
    <t xml:space="preserve">SD(P/HTL)O </t>
  </si>
  <si>
    <t xml:space="preserve">Feedstock Capacity </t>
  </si>
  <si>
    <t>M€</t>
  </si>
  <si>
    <t>Price</t>
  </si>
  <si>
    <t xml:space="preserve">€/t </t>
  </si>
  <si>
    <t>€/t</t>
  </si>
  <si>
    <t>ID</t>
  </si>
  <si>
    <t>Description</t>
  </si>
  <si>
    <t>C301</t>
  </si>
  <si>
    <t>C501</t>
  </si>
  <si>
    <t>HE301A</t>
  </si>
  <si>
    <t>HE301B</t>
  </si>
  <si>
    <t>HE401</t>
  </si>
  <si>
    <t>HE501A</t>
  </si>
  <si>
    <t>HE501B</t>
  </si>
  <si>
    <t>P601</t>
  </si>
  <si>
    <t>R201</t>
  </si>
  <si>
    <t>R301</t>
  </si>
  <si>
    <t>R601</t>
  </si>
  <si>
    <t>S201</t>
  </si>
  <si>
    <t>Air fan</t>
  </si>
  <si>
    <t>Flue gas fan</t>
  </si>
  <si>
    <t>Sand cooler-air</t>
  </si>
  <si>
    <t>Sand cooler-steam</t>
  </si>
  <si>
    <t>FPBO Condenser</t>
  </si>
  <si>
    <t>Flue gas cooler-water</t>
  </si>
  <si>
    <t>Flue gas cooler-recycle</t>
  </si>
  <si>
    <t>Water recycle pump</t>
  </si>
  <si>
    <t xml:space="preserve">Fast pyrolysis reactor </t>
  </si>
  <si>
    <t>Char combustor</t>
  </si>
  <si>
    <t>Flash drum</t>
  </si>
  <si>
    <t>Cyclone 1</t>
  </si>
  <si>
    <t>S401</t>
  </si>
  <si>
    <t>S403</t>
  </si>
  <si>
    <t>S501</t>
  </si>
  <si>
    <t>T601</t>
  </si>
  <si>
    <t>T602</t>
  </si>
  <si>
    <t>V101</t>
  </si>
  <si>
    <t>V401</t>
  </si>
  <si>
    <t>V601</t>
  </si>
  <si>
    <t>V602</t>
  </si>
  <si>
    <t>X101</t>
  </si>
  <si>
    <t>X102</t>
  </si>
  <si>
    <t>X103</t>
  </si>
  <si>
    <t>FPBO film evaporator</t>
  </si>
  <si>
    <t>oil filter</t>
  </si>
  <si>
    <t>bag house</t>
  </si>
  <si>
    <t>Turbine (HP)</t>
  </si>
  <si>
    <t>Turbine (LP)</t>
  </si>
  <si>
    <t>Biomass dryer</t>
  </si>
  <si>
    <t>FPBO condenser drum</t>
  </si>
  <si>
    <t>Steam drum</t>
  </si>
  <si>
    <t>Dearator</t>
  </si>
  <si>
    <t>Feedstock Storage vessel</t>
  </si>
  <si>
    <t>Conveyor belt</t>
  </si>
  <si>
    <t>X201</t>
  </si>
  <si>
    <t>X202</t>
  </si>
  <si>
    <t>X402</t>
  </si>
  <si>
    <t xml:space="preserve">Cyclone </t>
  </si>
  <si>
    <t xml:space="preserve">Storage tank </t>
  </si>
  <si>
    <t>C101</t>
  </si>
  <si>
    <t>X502</t>
  </si>
  <si>
    <t>V201</t>
  </si>
  <si>
    <t>FPBO pump</t>
  </si>
  <si>
    <t>FP Detail</t>
  </si>
  <si>
    <t xml:space="preserve">Description </t>
  </si>
  <si>
    <t>Feed heater</t>
  </si>
  <si>
    <t>Screen</t>
  </si>
  <si>
    <t>Black</t>
  </si>
  <si>
    <t>Feedstock/bio-oil</t>
  </si>
  <si>
    <t>Blue</t>
  </si>
  <si>
    <t>Water</t>
  </si>
  <si>
    <t>Red</t>
  </si>
  <si>
    <t>Line color</t>
  </si>
  <si>
    <t>t</t>
  </si>
  <si>
    <t>Metric tonne</t>
  </si>
  <si>
    <t xml:space="preserve">Mega joule </t>
  </si>
  <si>
    <t xml:space="preserve">Kilometer </t>
  </si>
  <si>
    <t>kWh</t>
  </si>
  <si>
    <t>Kilo-watt-hour</t>
  </si>
  <si>
    <t>Million euro</t>
  </si>
  <si>
    <t>Hour</t>
  </si>
  <si>
    <t>gCo2/t-km</t>
  </si>
  <si>
    <t>PFD &amp; Equipment list</t>
  </si>
  <si>
    <t>** Hold cursor over cells to show inspiration for potential risks</t>
  </si>
  <si>
    <t>Description of Risks</t>
  </si>
  <si>
    <t>Degree of criticality of the risk related to the final achievement of this Key Exploitable Result. Please rate from 1 (low) to 10 (high)</t>
  </si>
  <si>
    <t>Probability of risk happening. Please rate from 1 (low) to 10 (high)</t>
  </si>
  <si>
    <t>Risk Grade</t>
  </si>
  <si>
    <t>Potential intervention</t>
  </si>
  <si>
    <t>Estimated Feasibility/Success of Intervention. Please rate from 1 (low) to 10 (high)</t>
  </si>
  <si>
    <t>Conclusion</t>
  </si>
  <si>
    <t>Partnership Risk Factors</t>
  </si>
  <si>
    <t>Technological Risk Factors</t>
  </si>
  <si>
    <t>Market Risk Factors</t>
  </si>
  <si>
    <t>Financial/management Risk Factors</t>
  </si>
  <si>
    <t>Summarizing Risks Table</t>
  </si>
  <si>
    <t>Number of "No Action" Risks</t>
  </si>
  <si>
    <t>Number of "Control" Risks</t>
  </si>
  <si>
    <t>Number of "Action" Risks</t>
  </si>
  <si>
    <t>Number of "Warning" Risks</t>
  </si>
  <si>
    <t>Number of Risks in the middle of everything</t>
  </si>
  <si>
    <t>Number of Risks Between Control &amp; No Action</t>
  </si>
  <si>
    <t>Number of Risks Between Action &amp; Warning</t>
  </si>
  <si>
    <t>Number of Risks Between No Action &amp; Warning</t>
  </si>
  <si>
    <t>Number of Risks Between Control &amp; Action</t>
  </si>
  <si>
    <t>Description of Social impact</t>
  </si>
  <si>
    <t>Social Impact</t>
  </si>
  <si>
    <t>Worker</t>
  </si>
  <si>
    <t>Fair salary</t>
  </si>
  <si>
    <t>Working Hours</t>
  </si>
  <si>
    <t>Equal opportunity/Discrimination</t>
  </si>
  <si>
    <t>Health and Safety</t>
  </si>
  <si>
    <t>Consumer</t>
  </si>
  <si>
    <t>Transparency</t>
  </si>
  <si>
    <t>Local community</t>
  </si>
  <si>
    <t>Safe and Healthy living condition</t>
  </si>
  <si>
    <t>Local employment</t>
  </si>
  <si>
    <t>Society</t>
  </si>
  <si>
    <t>Contribution to economic development</t>
  </si>
  <si>
    <t>Technology development</t>
  </si>
  <si>
    <t xml:space="preserve">Job Creation </t>
  </si>
  <si>
    <t>Load on public transport</t>
  </si>
  <si>
    <t xml:space="preserve">Number of employees </t>
  </si>
  <si>
    <t>Currency</t>
  </si>
  <si>
    <t>Bare module cost in Euro</t>
  </si>
  <si>
    <t>Bare module cost in chosen currency</t>
  </si>
  <si>
    <t>US Doller</t>
  </si>
  <si>
    <t>Currency converter (1Eur)</t>
  </si>
  <si>
    <t>Norwegian Krone</t>
  </si>
  <si>
    <t>Utility Outlet (U2)</t>
  </si>
  <si>
    <t>** Hold cursor over cells to show inspiration for potential impacts</t>
  </si>
  <si>
    <t>There is a high negative impact. Actions must be taken to mitigate the impact</t>
  </si>
  <si>
    <t>There is a potentional for negative impact. Proper actions must be considered.</t>
  </si>
  <si>
    <t>Degree of the social impact. Please rate from -10 (low-negative impact) to 10 (high-positive impact)</t>
  </si>
  <si>
    <t>Consumers' feedback mechanism</t>
  </si>
  <si>
    <t>Visual pollution</t>
  </si>
  <si>
    <t xml:space="preserve">Impact on soil </t>
  </si>
  <si>
    <t>Impact on surface water</t>
  </si>
  <si>
    <t>Impact on natural area</t>
  </si>
  <si>
    <t xml:space="preserve">Impact on air </t>
  </si>
  <si>
    <t xml:space="preserve"> Risk Assessment Map</t>
  </si>
  <si>
    <t>IPR/legal/regulatory Risk Factors</t>
  </si>
  <si>
    <t>Environmental/social Risk Factors</t>
  </si>
  <si>
    <t>Environmental</t>
  </si>
  <si>
    <r>
      <rPr>
        <b/>
        <sz val="11"/>
        <color theme="1"/>
        <rFont val="Calibri"/>
        <family val="2"/>
        <scheme val="minor"/>
      </rPr>
      <t>VGO</t>
    </r>
    <r>
      <rPr>
        <sz val="11"/>
        <color theme="1"/>
        <rFont val="Calibri"/>
        <family val="2"/>
        <scheme val="minor"/>
      </rPr>
      <t xml:space="preserve"> LHV </t>
    </r>
  </si>
  <si>
    <r>
      <rPr>
        <b/>
        <sz val="11"/>
        <color theme="1"/>
        <rFont val="Calibri"/>
        <family val="2"/>
        <scheme val="minor"/>
      </rPr>
      <t>VGO</t>
    </r>
    <r>
      <rPr>
        <sz val="11"/>
        <color theme="1"/>
        <rFont val="Calibri"/>
        <family val="2"/>
        <scheme val="minor"/>
      </rPr>
      <t xml:space="preserve"> HHV </t>
    </r>
  </si>
  <si>
    <r>
      <rPr>
        <b/>
        <sz val="11"/>
        <color theme="1"/>
        <rFont val="Calibri"/>
        <family val="2"/>
        <scheme val="minor"/>
      </rPr>
      <t>S(P/HTL)O</t>
    </r>
    <r>
      <rPr>
        <sz val="10"/>
        <color theme="1"/>
        <rFont val="Calibri"/>
        <family val="2"/>
        <scheme val="minor"/>
      </rPr>
      <t>_or_</t>
    </r>
    <r>
      <rPr>
        <b/>
        <sz val="11"/>
        <color theme="1"/>
        <rFont val="Calibri"/>
        <family val="2"/>
        <scheme val="minor"/>
      </rPr>
      <t>SD(P/HTL)O</t>
    </r>
    <r>
      <rPr>
        <sz val="11"/>
        <color theme="1"/>
        <rFont val="Calibri"/>
        <family val="2"/>
        <scheme val="minor"/>
      </rPr>
      <t xml:space="preserve"> LHV </t>
    </r>
  </si>
  <si>
    <r>
      <rPr>
        <b/>
        <sz val="11"/>
        <color theme="1"/>
        <rFont val="Calibri"/>
        <family val="2"/>
        <scheme val="minor"/>
      </rPr>
      <t>S(P/HTL)O</t>
    </r>
    <r>
      <rPr>
        <sz val="10"/>
        <color theme="1"/>
        <rFont val="Calibri"/>
        <family val="2"/>
        <scheme val="minor"/>
      </rPr>
      <t>_or_</t>
    </r>
    <r>
      <rPr>
        <b/>
        <sz val="11"/>
        <color theme="1"/>
        <rFont val="Calibri"/>
        <family val="2"/>
        <scheme val="minor"/>
      </rPr>
      <t>SD(P/HTL)O</t>
    </r>
    <r>
      <rPr>
        <sz val="11"/>
        <color theme="1"/>
        <rFont val="Calibri"/>
        <family val="2"/>
        <scheme val="minor"/>
      </rPr>
      <t xml:space="preserve"> HHV </t>
    </r>
  </si>
  <si>
    <t>S(P/HTL)O_or_SD(P/HTL)O input to Co-FCC</t>
  </si>
  <si>
    <t>Cont. wood</t>
  </si>
  <si>
    <t>Foodwaste</t>
  </si>
  <si>
    <t>U3</t>
  </si>
  <si>
    <t>U4</t>
  </si>
  <si>
    <t>Utility Inlet (U3)</t>
  </si>
  <si>
    <t>Utility Inlet (U4)</t>
  </si>
  <si>
    <t>LHV based (%)</t>
  </si>
  <si>
    <t>HHV based (%)</t>
  </si>
  <si>
    <t>Select</t>
  </si>
  <si>
    <t>Number of Plants:</t>
  </si>
  <si>
    <t>Total greenhouse gas emission per unit</t>
  </si>
  <si>
    <t>Total greenhouse gas emission for the whole value chain</t>
  </si>
  <si>
    <t>Color code of social impact Table</t>
  </si>
  <si>
    <t>There is a high positive impact. No action is needed. Positive impacts can be promoted.</t>
  </si>
  <si>
    <t>There is a low positive impact or no impact in case of 0 as a social impact. No action is needed. Positive impacts can be promoted.</t>
  </si>
  <si>
    <t xml:space="preserve"> KgCO2eq/kWh</t>
  </si>
  <si>
    <t>Color code of green house emission Table</t>
  </si>
  <si>
    <t>The highest carbon emission in total</t>
  </si>
  <si>
    <t xml:space="preserve">The highest carbon emission in each section </t>
  </si>
  <si>
    <t>Catalyst for stabilization reactor</t>
  </si>
  <si>
    <t>Catalyst for deoxygenation reactor</t>
  </si>
  <si>
    <t xml:space="preserve">Feedstock Price </t>
  </si>
  <si>
    <t>Distance</t>
  </si>
  <si>
    <t>Ash</t>
  </si>
  <si>
    <t>Number of operators per shift</t>
  </si>
  <si>
    <t>The impact of different factors can be evaluated</t>
  </si>
  <si>
    <t>The impact of different risks on the technology can be evaluated</t>
  </si>
  <si>
    <t xml:space="preserve">What is included in the design </t>
  </si>
  <si>
    <t>h</t>
  </si>
  <si>
    <t>Final GCT base on the assessment</t>
  </si>
  <si>
    <t>GCT yield</t>
  </si>
  <si>
    <t>Method</t>
  </si>
  <si>
    <t>Why this degree of impact has been chosen.</t>
  </si>
  <si>
    <t xml:space="preserve">Allocation result for observed mass balance </t>
  </si>
  <si>
    <t xml:space="preserve">The main product </t>
  </si>
  <si>
    <t>Green carbon Tracking percentage</t>
  </si>
  <si>
    <t>Allocation result for energy balance</t>
  </si>
  <si>
    <t xml:space="preserve">Allocation result for total mass balance </t>
  </si>
  <si>
    <t>Allocation result for carbon balance</t>
  </si>
  <si>
    <t xml:space="preserve">output </t>
  </si>
  <si>
    <t xml:space="preserve">calculated </t>
  </si>
  <si>
    <t>Black liquor</t>
  </si>
  <si>
    <t>Gasoline yield in the outlet stream</t>
  </si>
  <si>
    <t>Contractor Fee</t>
  </si>
  <si>
    <t>Steam (MJ)</t>
  </si>
  <si>
    <t>Sum</t>
  </si>
  <si>
    <t>MJ/hr</t>
  </si>
  <si>
    <t>KgCO2eq/GJ Product</t>
  </si>
  <si>
    <t>Total bare module cost for 1 unit</t>
  </si>
  <si>
    <t>Total module capital cost for 1 unit</t>
  </si>
  <si>
    <t>Total grass roots capital for 1 unit</t>
  </si>
  <si>
    <t>Total capital investments for 1 unit</t>
  </si>
  <si>
    <t>Total greenhouse gas emission for 100% bio-oil feeding</t>
  </si>
  <si>
    <t xml:space="preserve">Greenhouse gas emission for gasoline fossil fuel </t>
  </si>
  <si>
    <t>Total GHG reduction</t>
  </si>
  <si>
    <t>€/kWh</t>
  </si>
  <si>
    <t>Engineering</t>
  </si>
  <si>
    <t>Construction</t>
  </si>
  <si>
    <t xml:space="preserve">Automation and control </t>
  </si>
  <si>
    <t>Natural gas</t>
  </si>
  <si>
    <t>€/GJ</t>
  </si>
  <si>
    <t>GJ/hr</t>
  </si>
  <si>
    <t>Onstream time</t>
  </si>
  <si>
    <t>h/year</t>
  </si>
  <si>
    <t>Refinery product 1 (main)</t>
  </si>
  <si>
    <t>Refinery product 2</t>
  </si>
  <si>
    <t>Refinery product 3</t>
  </si>
  <si>
    <t>Refinery product 4</t>
  </si>
  <si>
    <t>Refinery product 5</t>
  </si>
  <si>
    <t>Refinery product 6</t>
  </si>
  <si>
    <t>Refinery product 7</t>
  </si>
  <si>
    <t>FPBO_Cont. wood</t>
  </si>
  <si>
    <t>FPBO_SH</t>
  </si>
  <si>
    <t>SDPO_SH</t>
  </si>
  <si>
    <t>SDPO_Cont. wood</t>
  </si>
  <si>
    <t>SPO_Cont.wood</t>
  </si>
  <si>
    <t>SPO_SH</t>
  </si>
  <si>
    <t>Upgrated_FW</t>
  </si>
  <si>
    <t>HTL_FW</t>
  </si>
  <si>
    <t>HTL_BL</t>
  </si>
  <si>
    <t>Upgrated_BL</t>
  </si>
  <si>
    <t>Co-feed main product</t>
  </si>
  <si>
    <t xml:space="preserve">Job creation (Liquifaction) </t>
  </si>
  <si>
    <t>Job creation (Upgrading)</t>
  </si>
  <si>
    <t>The energy efficiency of the feedstock that ends up in the products or production of utilities is calculated.</t>
  </si>
  <si>
    <t xml:space="preserve">Economic evaluation: Capital cost and manufactiring cost is calculated </t>
  </si>
  <si>
    <t xml:space="preserve">Greenhouse gas emission: CO2 emission for raw materials and utilities is calculated based on cradle to grave method. </t>
  </si>
  <si>
    <t>Feedstock 1 (biogenic feedstock)</t>
  </si>
  <si>
    <t>Utility Inlet (U2)</t>
  </si>
  <si>
    <t>Black liqour (HTL)</t>
  </si>
  <si>
    <t>FPBO Upgrading Detail</t>
  </si>
  <si>
    <t>P201</t>
  </si>
  <si>
    <t>Blower235</t>
  </si>
  <si>
    <t>COMP280</t>
  </si>
  <si>
    <t>H2 recycle blower</t>
  </si>
  <si>
    <t>Make up H2 compressor</t>
  </si>
  <si>
    <t>COMP284</t>
  </si>
  <si>
    <t>COMP288</t>
  </si>
  <si>
    <t>H2 recycle compressor</t>
  </si>
  <si>
    <t>Stabilizer H2 compressor</t>
  </si>
  <si>
    <t>HX201</t>
  </si>
  <si>
    <t>Stabilization feed heater</t>
  </si>
  <si>
    <t>HX223</t>
  </si>
  <si>
    <t>Stabilized oil vapor cooler</t>
  </si>
  <si>
    <t>HX241</t>
  </si>
  <si>
    <t>Deoxygenation effluent cooler</t>
  </si>
  <si>
    <t>HX253</t>
  </si>
  <si>
    <t>Vapor cooler</t>
  </si>
  <si>
    <t>HX254</t>
  </si>
  <si>
    <t>Liquid cooler</t>
  </si>
  <si>
    <t>HX264</t>
  </si>
  <si>
    <t>Deep cooling</t>
  </si>
  <si>
    <t>HX281</t>
  </si>
  <si>
    <t>H2 cooling</t>
  </si>
  <si>
    <t>HX286</t>
  </si>
  <si>
    <t xml:space="preserve">PSA  </t>
  </si>
  <si>
    <t>Pressure swing adsorption</t>
  </si>
  <si>
    <t>Stabilization reactor</t>
  </si>
  <si>
    <t>R202</t>
  </si>
  <si>
    <t xml:space="preserve">Deoxygenation reactor </t>
  </si>
  <si>
    <t>V200</t>
  </si>
  <si>
    <t>FPBO storage tank</t>
  </si>
  <si>
    <t>V-L separator</t>
  </si>
  <si>
    <t>V231</t>
  </si>
  <si>
    <t>V-L-L separator</t>
  </si>
  <si>
    <t>V251</t>
  </si>
  <si>
    <t>V263</t>
  </si>
  <si>
    <t>V264</t>
  </si>
  <si>
    <t>V268</t>
  </si>
  <si>
    <t>SPDO storage tank</t>
  </si>
  <si>
    <t>V269</t>
  </si>
  <si>
    <t>Waste water buffer tank</t>
  </si>
  <si>
    <t>Deoxygenation feed heater</t>
  </si>
  <si>
    <t>HX250</t>
  </si>
  <si>
    <t>Feed hopper</t>
  </si>
  <si>
    <t>SP102</t>
  </si>
  <si>
    <t xml:space="preserve">M103 </t>
  </si>
  <si>
    <t>Hammer mill</t>
  </si>
  <si>
    <t>V110</t>
  </si>
  <si>
    <t>Mixer vessel</t>
  </si>
  <si>
    <t>P110</t>
  </si>
  <si>
    <t>High pressure feed pump</t>
  </si>
  <si>
    <t>HX111</t>
  </si>
  <si>
    <t>Feed heat exchanger</t>
  </si>
  <si>
    <t>HX112</t>
  </si>
  <si>
    <t>R113</t>
  </si>
  <si>
    <t>HTL reactor</t>
  </si>
  <si>
    <t>SP116</t>
  </si>
  <si>
    <t>Disk centrifuge</t>
  </si>
  <si>
    <t>HX118</t>
  </si>
  <si>
    <t>HTL product cooler</t>
  </si>
  <si>
    <t>V122</t>
  </si>
  <si>
    <t xml:space="preserve">Char &amp; Ash collection bins </t>
  </si>
  <si>
    <t>V140</t>
  </si>
  <si>
    <t>Gas-liquid-liquid separator</t>
  </si>
  <si>
    <t>P143</t>
  </si>
  <si>
    <t>Aqueous phase recycle pump</t>
  </si>
  <si>
    <t>V146</t>
  </si>
  <si>
    <t>Waste water collection tank</t>
  </si>
  <si>
    <t>V210</t>
  </si>
  <si>
    <t>Bio-crude storage tank (× 2)</t>
  </si>
  <si>
    <t>(1 @ HTL site, 1 @ refinery)</t>
  </si>
  <si>
    <t>P210</t>
  </si>
  <si>
    <t>HX214</t>
  </si>
  <si>
    <t xml:space="preserve">Feed heat exchanger </t>
  </si>
  <si>
    <t>R218</t>
  </si>
  <si>
    <t>Deoxygenation reactor</t>
  </si>
  <si>
    <t>HX226</t>
  </si>
  <si>
    <t>Heat recovery exchanger</t>
  </si>
  <si>
    <t>V230</t>
  </si>
  <si>
    <t xml:space="preserve">Gas-liquid separator </t>
  </si>
  <si>
    <t>HX231</t>
  </si>
  <si>
    <t>Water cooler</t>
  </si>
  <si>
    <t>HX232</t>
  </si>
  <si>
    <t>V240</t>
  </si>
  <si>
    <t>Deep cooler</t>
  </si>
  <si>
    <t>V244</t>
  </si>
  <si>
    <t>V246</t>
  </si>
  <si>
    <t>Deoxygenated bio oil</t>
  </si>
  <si>
    <t>PSA</t>
  </si>
  <si>
    <t>P250</t>
  </si>
  <si>
    <t>H2 compressor</t>
  </si>
  <si>
    <t>HX251</t>
  </si>
  <si>
    <t>H2 cooler</t>
  </si>
  <si>
    <t>P253</t>
  </si>
  <si>
    <t>HX119</t>
  </si>
  <si>
    <t>V148</t>
  </si>
  <si>
    <t>Bio-crude acid washing</t>
  </si>
  <si>
    <t>V260</t>
  </si>
  <si>
    <t>HTL &amp; upgrading Detail (Food Waste)</t>
  </si>
  <si>
    <t>HTL &amp; upgrading Detail (Black Liquor)</t>
  </si>
  <si>
    <t>Green Carbon Tracking: Green carbon that ends up in the final product is calculated with four different methods. Moreover, allocated GCT can be also calculated by allocating the green carbon to ONE product. The final GCT percentage depends on the methods of your choice or even the average of different methods.</t>
  </si>
  <si>
    <r>
      <rPr>
        <b/>
        <sz val="16"/>
        <color rgb="FF0070C0"/>
        <rFont val="Calibri"/>
        <family val="2"/>
        <scheme val="minor"/>
      </rPr>
      <t>TERMS AND CONDITIONS</t>
    </r>
    <r>
      <rPr>
        <sz val="14"/>
        <color theme="1"/>
        <rFont val="Calibri"/>
        <family val="2"/>
        <scheme val="minor"/>
      </rPr>
      <t xml:space="preserve">
Welcome to Waste2Road Toolbox. This Toolbox has been created by Process Design Center B.V.(“PDC”), a private company with an office address of Paardeweide 7, 4824EH Breda, The Netherlands (https://www.process-design-center.com/), and Chamber of Commerce registration number 20091733, as public deliverable of the Waste2Road project https://www.sintef.no/projectweb/waste2road/. The purpose of this Toolbox, which is conveniently designed in a Microsoft Excel environment, is to to address and monitor KPIs, systematically assess the impact of alternative organic waste feedstocks, track the green carbon along the value chain, and assess the energy- and resource efficiency, carbon footprint, economic, environmental and social impact and associated risks.
By using this Toolbox you consent to these Terms and Conditions. These Terms and Conditions shall be governed by and construed exclusively in accordance with the laws of Belgium. Any disputes arising under or in connection with the use of information, tools, calculations, and material available on or through the Toolbox shall be subject to the exclusive jurisdiction of the courts of Belgium. The content of this Waste2Road Toolbox and outcome of the calculations can be used free of charge. The results obtained with the tool are free to use on the condition that reference or acknowledgment is made to the Waste2Road project, funded by grant agreement the European Union’s Horizon 2020 research and innovation programme under No 818120. 
Be aware that the toolbox and its entire content is copyright protected, and that there is no warranty or liability of any kind.
</t>
    </r>
    <r>
      <rPr>
        <b/>
        <u/>
        <sz val="14"/>
        <color theme="1"/>
        <rFont val="Calibri"/>
        <family val="2"/>
        <scheme val="minor"/>
      </rPr>
      <t>Copyright</t>
    </r>
    <r>
      <rPr>
        <sz val="14"/>
        <color theme="1"/>
        <rFont val="Calibri"/>
        <family val="2"/>
        <scheme val="minor"/>
      </rPr>
      <t xml:space="preserve">
As far as the content is not copyright protected by Waste2Road partners, the content of this Toolbox is: Copyright © Process Design Center, All rights reserved. 
As a user of the Waste2Road Toolbox, you are responsible for obeying applicable copyright laws in full or in part. We permit the use for individual reference with all copyrights and other proprietary notices retained. The content may not be otherwise copied. 
</t>
    </r>
    <r>
      <rPr>
        <b/>
        <u/>
        <sz val="14"/>
        <color theme="1"/>
        <rFont val="Calibri"/>
        <family val="2"/>
        <scheme val="minor"/>
      </rPr>
      <t>Disclaimer</t>
    </r>
    <r>
      <rPr>
        <sz val="14"/>
        <color theme="1"/>
        <rFont val="Calibri"/>
        <family val="2"/>
        <scheme val="minor"/>
      </rPr>
      <t xml:space="preserve">
The content of this Waste2Road Toolbox can be used free of charge without warranty or liability of any kind. Neither PDC nor any party involved in creating, producing, or delivering this toolbox or any information, calculation or other data contained therein, shall be liable for damages of any kind arising out of your access, inability to access, or use of this toolbox, or your reliance on the contents of this toolbox, or any errors or omissions in the content thereof.
The entire risk of using the toolbox, content, or outcomes from using the toolbox is within you. Important information should always be double-checked with alternative sources. Should the content prove faulty, inaccurate, or otherwise unacceptable, you assume all cost of necessary repairs and corrections. 
</t>
    </r>
    <r>
      <rPr>
        <b/>
        <u/>
        <sz val="14"/>
        <color theme="1"/>
        <rFont val="Calibri"/>
        <family val="2"/>
        <scheme val="minor"/>
      </rPr>
      <t>Privacy</t>
    </r>
    <r>
      <rPr>
        <sz val="14"/>
        <color theme="1"/>
        <rFont val="Calibri"/>
        <family val="2"/>
        <scheme val="minor"/>
      </rPr>
      <t xml:space="preserve">
We respect your privacy and comply with the provisions of the General Data Protection Regulation (“GDPR” link: https://ec.europa.eu/info/law/law-topic/data-protection_en). We are committed to protecting your privacy in using this Toolbox . 
</t>
    </r>
    <r>
      <rPr>
        <b/>
        <u/>
        <sz val="14"/>
        <color theme="1"/>
        <rFont val="Calibri"/>
        <family val="2"/>
        <scheme val="minor"/>
      </rPr>
      <t>Acknowledgement</t>
    </r>
    <r>
      <rPr>
        <sz val="14"/>
        <color theme="1"/>
        <rFont val="Calibri"/>
        <family val="2"/>
        <scheme val="minor"/>
      </rPr>
      <t xml:space="preserve">
This project has received funding from the European Union’s Horizon 2020 research and innovation programme under grant agreement No 818120. </t>
    </r>
  </si>
  <si>
    <t>Yearly rate per operator  (excl. Benefits and overhead)/€/year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</si>
</sst>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
    <numFmt numFmtId="167" formatCode="0.0"/>
    <numFmt numFmtId="172" formatCode="0.0000"/>
  </numFmts>
  <fonts count="42" x14ac:knownFonts="1">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8"/>
      <name val="Calibri"/>
      <family val="2"/>
      <scheme val="minor"/>
    </font>
    <font>
      <b/>
      <sz val="14"/>
      <color theme="0"/>
      <name val="Calibri"/>
      <family val="2"/>
      <scheme val="minor"/>
    </font>
    <font>
      <b/>
      <sz val="12"/>
      <color theme="1"/>
      <name val="Calibri"/>
      <family val="2"/>
      <scheme val="minor"/>
    </font>
    <font>
      <sz val="9"/>
      <color indexed="81"/>
      <name val="Tahoma"/>
      <family val="2"/>
    </font>
    <font>
      <b/>
      <sz val="9"/>
      <color indexed="81"/>
      <name val="Tahoma"/>
      <family val="2"/>
    </font>
    <font>
      <sz val="11"/>
      <color theme="7" tint="0.79998168889431442"/>
      <name val="Calibri"/>
      <family val="2"/>
      <scheme val="minor"/>
    </font>
    <font>
      <b/>
      <sz val="14"/>
      <name val="Calibri"/>
      <family val="2"/>
      <scheme val="minor"/>
    </font>
    <font>
      <b/>
      <sz val="18"/>
      <color theme="1"/>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name val="Calibri"/>
      <family val="2"/>
      <scheme val="minor"/>
    </font>
    <font>
      <b/>
      <sz val="11"/>
      <name val="Calibri"/>
      <family val="2"/>
      <scheme val="minor"/>
    </font>
    <font>
      <sz val="14"/>
      <color theme="1"/>
      <name val="Calibri"/>
      <family val="2"/>
      <scheme val="minor"/>
    </font>
    <font>
      <sz val="12"/>
      <name val="Calibri"/>
      <family val="2"/>
      <scheme val="minor"/>
    </font>
    <font>
      <b/>
      <sz val="12"/>
      <color rgb="FF3F3F3F"/>
      <name val="Calibri"/>
      <family val="2"/>
      <scheme val="minor"/>
    </font>
    <font>
      <sz val="11"/>
      <color theme="9" tint="0.79998168889431442"/>
      <name val="Calibri"/>
      <family val="2"/>
      <scheme val="minor"/>
    </font>
    <font>
      <b/>
      <sz val="15"/>
      <color theme="3"/>
      <name val="Calibri"/>
      <family val="2"/>
      <scheme val="minor"/>
    </font>
    <font>
      <sz val="10"/>
      <name val="Arial"/>
      <family val="2"/>
    </font>
    <font>
      <sz val="10"/>
      <name val="Calibri"/>
      <family val="2"/>
      <scheme val="minor"/>
    </font>
    <font>
      <b/>
      <sz val="20"/>
      <color theme="3"/>
      <name val="Calibri"/>
      <family val="2"/>
      <scheme val="minor"/>
    </font>
    <font>
      <sz val="20"/>
      <name val="Calibri"/>
      <family val="2"/>
      <scheme val="minor"/>
    </font>
    <font>
      <b/>
      <sz val="10"/>
      <name val="Calibri"/>
      <family val="2"/>
      <scheme val="minor"/>
    </font>
    <font>
      <b/>
      <sz val="9"/>
      <name val="Calibri"/>
      <family val="2"/>
      <scheme val="minor"/>
    </font>
    <font>
      <i/>
      <sz val="10"/>
      <name val="Calibri"/>
      <family val="2"/>
      <scheme val="minor"/>
    </font>
    <font>
      <sz val="9"/>
      <name val="Calibri"/>
      <family val="2"/>
      <scheme val="minor"/>
    </font>
    <font>
      <b/>
      <sz val="10"/>
      <color theme="0"/>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name val="Arial"/>
      <family val="2"/>
    </font>
    <font>
      <b/>
      <sz val="15"/>
      <color theme="1"/>
      <name val="Calibri"/>
      <family val="2"/>
      <scheme val="minor"/>
    </font>
    <font>
      <b/>
      <sz val="16"/>
      <color rgb="FF0070C0"/>
      <name val="Calibri"/>
      <family val="2"/>
      <scheme val="minor"/>
    </font>
    <font>
      <b/>
      <u/>
      <sz val="14"/>
      <color theme="1"/>
      <name val="Calibri"/>
      <family val="2"/>
      <scheme val="minor"/>
    </font>
    <font>
      <b/>
      <sz val="11"/>
      <color rgb="FF3F3F76"/>
      <name val="Calibri"/>
      <family val="2"/>
      <scheme val="minor"/>
    </font>
    <font>
      <b/>
      <sz val="11"/>
      <color theme="5"/>
      <name val="Calibri"/>
      <family val="2"/>
      <scheme val="minor"/>
    </font>
    <font>
      <sz val="10"/>
      <color theme="1"/>
      <name val="Arial"/>
      <family val="2"/>
    </font>
  </fonts>
  <fills count="23">
    <fill>
      <patternFill patternType="none"/>
    </fill>
    <fill>
      <patternFill patternType="gray125"/>
    </fill>
    <fill>
      <patternFill patternType="solid">
        <fgColor theme="4"/>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5" tint="0.79998168889431442"/>
        <bgColor indexed="64"/>
      </patternFill>
    </fill>
    <fill>
      <patternFill patternType="solid">
        <fgColor theme="5" tint="-0.249977111117893"/>
        <bgColor indexed="64"/>
      </patternFill>
    </fill>
    <fill>
      <patternFill patternType="solid">
        <fgColor theme="9"/>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bgColor indexed="64"/>
      </patternFill>
    </fill>
    <fill>
      <patternFill patternType="solid">
        <fgColor rgb="FFC00000"/>
        <bgColor indexed="64"/>
      </patternFill>
    </fill>
    <fill>
      <patternFill patternType="solid">
        <fgColor theme="9" tint="0.59999389629810485"/>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medium">
        <color indexed="64"/>
      </right>
      <top style="thin">
        <color rgb="FF7F7F7F"/>
      </top>
      <bottom style="thin">
        <color rgb="FF7F7F7F"/>
      </bottom>
      <diagonal/>
    </border>
    <border>
      <left style="thin">
        <color rgb="FF3F3F3F"/>
      </left>
      <right style="medium">
        <color indexed="64"/>
      </right>
      <top style="thin">
        <color rgb="FF3F3F3F"/>
      </top>
      <bottom style="thin">
        <color rgb="FF3F3F3F"/>
      </bottom>
      <diagonal/>
    </border>
    <border>
      <left style="thin">
        <color rgb="FF7F7F7F"/>
      </left>
      <right style="thin">
        <color rgb="FF7F7F7F"/>
      </right>
      <top style="thin">
        <color rgb="FF7F7F7F"/>
      </top>
      <bottom style="medium">
        <color indexed="64"/>
      </bottom>
      <diagonal/>
    </border>
    <border>
      <left style="thin">
        <color rgb="FFB2B2B2"/>
      </left>
      <right style="thin">
        <color rgb="FFB2B2B2"/>
      </right>
      <top style="thin">
        <color rgb="FFB2B2B2"/>
      </top>
      <bottom style="medium">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style="thin">
        <color rgb="FF7F7F7F"/>
      </left>
      <right/>
      <top/>
      <bottom style="thin">
        <color indexed="64"/>
      </bottom>
      <diagonal/>
    </border>
    <border>
      <left style="thin">
        <color rgb="FFB2B2B2"/>
      </left>
      <right style="medium">
        <color indexed="64"/>
      </right>
      <top style="thin">
        <color rgb="FFB2B2B2"/>
      </top>
      <bottom style="thin">
        <color rgb="FFB2B2B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rgb="FF7F7F7F"/>
      </top>
      <bottom style="thin">
        <color rgb="FF7F7F7F"/>
      </bottom>
      <diagonal/>
    </border>
    <border>
      <left style="thin">
        <color indexed="64"/>
      </left>
      <right style="medium">
        <color indexed="64"/>
      </right>
      <top style="thin">
        <color indexed="64"/>
      </top>
      <bottom/>
      <diagonal/>
    </border>
    <border>
      <left style="thin">
        <color rgb="FF3F3F3F"/>
      </left>
      <right style="thin">
        <color rgb="FF3F3F3F"/>
      </right>
      <top style="thin">
        <color rgb="FF3F3F3F"/>
      </top>
      <bottom style="medium">
        <color indexed="64"/>
      </bottom>
      <diagonal/>
    </border>
    <border>
      <left style="thin">
        <color rgb="FF3F3F3F"/>
      </left>
      <right style="medium">
        <color indexed="64"/>
      </right>
      <top style="thin">
        <color rgb="FF3F3F3F"/>
      </top>
      <bottom style="medium">
        <color indexed="64"/>
      </bottom>
      <diagonal/>
    </border>
    <border>
      <left style="thin">
        <color indexed="64"/>
      </left>
      <right/>
      <top/>
      <bottom/>
      <diagonal/>
    </border>
    <border>
      <left/>
      <right/>
      <top/>
      <bottom style="thick">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rgb="FF3F3F3F"/>
      </top>
      <bottom style="thin">
        <color rgb="FF3F3F3F"/>
      </bottom>
      <diagonal/>
    </border>
    <border>
      <left style="thin">
        <color indexed="64"/>
      </left>
      <right style="thin">
        <color indexed="64"/>
      </right>
      <top style="thin">
        <color rgb="FF3F3F3F"/>
      </top>
      <bottom style="medium">
        <color indexed="64"/>
      </bottom>
      <diagonal/>
    </border>
    <border>
      <left style="thin">
        <color rgb="FF3F3F3F"/>
      </left>
      <right style="thin">
        <color rgb="FF3F3F3F"/>
      </right>
      <top/>
      <bottom style="thin">
        <color rgb="FF3F3F3F"/>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3F3F3F"/>
      </left>
      <right style="medium">
        <color indexed="64"/>
      </right>
      <top/>
      <bottom style="thin">
        <color rgb="FF3F3F3F"/>
      </bottom>
      <diagonal/>
    </border>
    <border>
      <left style="thin">
        <color indexed="64"/>
      </left>
      <right style="thin">
        <color rgb="FF3F3F3F"/>
      </right>
      <top style="thin">
        <color indexed="64"/>
      </top>
      <bottom style="thin">
        <color rgb="FF3F3F3F"/>
      </bottom>
      <diagonal/>
    </border>
    <border>
      <left style="thin">
        <color rgb="FF3F3F3F"/>
      </left>
      <right style="thin">
        <color rgb="FF3F3F3F"/>
      </right>
      <top style="thin">
        <color indexed="64"/>
      </top>
      <bottom style="thin">
        <color rgb="FF3F3F3F"/>
      </bottom>
      <diagonal/>
    </border>
    <border>
      <left style="thin">
        <color rgb="FF3F3F3F"/>
      </left>
      <right style="medium">
        <color indexed="64"/>
      </right>
      <top style="thin">
        <color indexed="64"/>
      </top>
      <bottom style="thin">
        <color rgb="FF3F3F3F"/>
      </bottom>
      <diagonal/>
    </border>
    <border>
      <left style="medium">
        <color indexed="64"/>
      </left>
      <right/>
      <top style="thin">
        <color indexed="64"/>
      </top>
      <bottom style="medium">
        <color indexed="64"/>
      </bottom>
      <diagonal/>
    </border>
    <border>
      <left style="thin">
        <color rgb="FF7F7F7F"/>
      </left>
      <right/>
      <top style="thin">
        <color rgb="FF7F7F7F"/>
      </top>
      <bottom style="thin">
        <color rgb="FF7F7F7F"/>
      </bottom>
      <diagonal/>
    </border>
    <border>
      <left style="thin">
        <color rgb="FFB2B2B2"/>
      </left>
      <right/>
      <top style="thin">
        <color rgb="FFB2B2B2"/>
      </top>
      <bottom style="thin">
        <color rgb="FFB2B2B2"/>
      </bottom>
      <diagonal/>
    </border>
    <border>
      <left style="thin">
        <color rgb="FFB2B2B2"/>
      </left>
      <right/>
      <top style="thin">
        <color rgb="FFB2B2B2"/>
      </top>
      <bottom style="medium">
        <color indexed="64"/>
      </bottom>
      <diagonal/>
    </border>
    <border>
      <left/>
      <right style="thin">
        <color rgb="FF3F3F3F"/>
      </right>
      <top style="thin">
        <color indexed="64"/>
      </top>
      <bottom style="thin">
        <color indexed="64"/>
      </bottom>
      <diagonal/>
    </border>
    <border>
      <left/>
      <right style="thin">
        <color rgb="FF3F3F3F"/>
      </right>
      <top style="thin">
        <color indexed="64"/>
      </top>
      <bottom style="medium">
        <color indexed="64"/>
      </bottom>
      <diagonal/>
    </border>
    <border>
      <left style="medium">
        <color indexed="64"/>
      </left>
      <right/>
      <top style="thin">
        <color indexed="64"/>
      </top>
      <bottom/>
      <diagonal/>
    </border>
    <border>
      <left style="thin">
        <color rgb="FF7F7F7F"/>
      </left>
      <right/>
      <top/>
      <bottom style="thin">
        <color rgb="FF7F7F7F"/>
      </bottom>
      <diagonal/>
    </border>
    <border>
      <left style="thin">
        <color rgb="FF7F7F7F"/>
      </left>
      <right style="thin">
        <color rgb="FF7F7F7F"/>
      </right>
      <top/>
      <bottom style="thin">
        <color rgb="FF7F7F7F"/>
      </bottom>
      <diagonal/>
    </border>
    <border>
      <left style="thin">
        <color rgb="FFB2B2B2"/>
      </left>
      <right/>
      <top/>
      <bottom style="thin">
        <color rgb="FFB2B2B2"/>
      </bottom>
      <diagonal/>
    </border>
    <border>
      <left style="thin">
        <color rgb="FFB2B2B2"/>
      </left>
      <right/>
      <top style="thin">
        <color rgb="FFB2B2B2"/>
      </top>
      <bottom/>
      <diagonal/>
    </border>
    <border>
      <left/>
      <right/>
      <top/>
      <bottom style="thin">
        <color rgb="FFB2B2B2"/>
      </bottom>
      <diagonal/>
    </border>
    <border>
      <left/>
      <right/>
      <top style="thin">
        <color rgb="FFB2B2B2"/>
      </top>
      <bottom style="thin">
        <color rgb="FFB2B2B2"/>
      </bottom>
      <diagonal/>
    </border>
    <border>
      <left/>
      <right/>
      <top style="thin">
        <color rgb="FFB2B2B2"/>
      </top>
      <bottom style="medium">
        <color indexed="64"/>
      </bottom>
      <diagonal/>
    </border>
    <border>
      <left/>
      <right style="thin">
        <color indexed="64"/>
      </right>
      <top/>
      <bottom style="medium">
        <color indexed="64"/>
      </bottom>
      <diagonal/>
    </border>
    <border>
      <left style="thin">
        <color indexed="64"/>
      </left>
      <right style="thin">
        <color indexed="64"/>
      </right>
      <top style="thin">
        <color rgb="FFB2B2B2"/>
      </top>
      <bottom style="thin">
        <color indexed="64"/>
      </bottom>
      <diagonal/>
    </border>
    <border>
      <left/>
      <right style="medium">
        <color indexed="64"/>
      </right>
      <top style="thin">
        <color rgb="FF3F3F3F"/>
      </top>
      <bottom style="thin">
        <color rgb="FF3F3F3F"/>
      </bottom>
      <diagonal/>
    </border>
    <border>
      <left/>
      <right style="medium">
        <color indexed="64"/>
      </right>
      <top style="thin">
        <color rgb="FF3F3F3F"/>
      </top>
      <bottom style="medium">
        <color indexed="64"/>
      </bottom>
      <diagonal/>
    </border>
    <border>
      <left style="thin">
        <color indexed="64"/>
      </left>
      <right style="thin">
        <color indexed="64"/>
      </right>
      <top style="thin">
        <color indexed="64"/>
      </top>
      <bottom style="thin">
        <color rgb="FF3F3F3F"/>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rgb="FF3F3F3F"/>
      </top>
      <bottom/>
      <diagonal/>
    </border>
    <border>
      <left style="thin">
        <color rgb="FF3F3F3F"/>
      </left>
      <right style="thin">
        <color rgb="FF3F3F3F"/>
      </right>
      <top style="thin">
        <color rgb="FF3F3F3F"/>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rgb="FF7F7F7F"/>
      </right>
      <top style="thin">
        <color indexed="64"/>
      </top>
      <bottom style="thin">
        <color indexed="64"/>
      </bottom>
      <diagonal/>
    </border>
  </borders>
  <cellStyleXfs count="14">
    <xf numFmtId="0" fontId="0" fillId="0" borderId="0"/>
    <xf numFmtId="9" fontId="2" fillId="0" borderId="0" applyFont="0" applyFill="0" applyBorder="0" applyAlignment="0" applyProtection="0"/>
    <xf numFmtId="0" fontId="13" fillId="9" borderId="35" applyNumberFormat="0" applyAlignment="0" applyProtection="0"/>
    <xf numFmtId="0" fontId="14" fillId="10" borderId="36" applyNumberFormat="0" applyAlignment="0" applyProtection="0"/>
    <xf numFmtId="0" fontId="15" fillId="10" borderId="35" applyNumberFormat="0" applyAlignment="0" applyProtection="0"/>
    <xf numFmtId="0" fontId="2" fillId="11" borderId="37" applyNumberFormat="0" applyFont="0" applyAlignment="0" applyProtection="0"/>
    <xf numFmtId="0" fontId="22" fillId="0" borderId="58" applyNumberFormat="0" applyFill="0" applyAlignment="0" applyProtection="0"/>
    <xf numFmtId="0" fontId="2" fillId="0" borderId="0"/>
    <xf numFmtId="0" fontId="4" fillId="0" borderId="0"/>
    <xf numFmtId="0" fontId="23" fillId="0" borderId="0"/>
    <xf numFmtId="0" fontId="23" fillId="0" borderId="0"/>
    <xf numFmtId="0" fontId="32" fillId="16"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cellStyleXfs>
  <cellXfs count="690">
    <xf numFmtId="0" fontId="0" fillId="0" borderId="0" xfId="0"/>
    <xf numFmtId="0" fontId="0" fillId="0" borderId="0" xfId="0" applyFill="1"/>
    <xf numFmtId="0" fontId="0" fillId="5" borderId="0" xfId="0" applyFill="1"/>
    <xf numFmtId="0" fontId="0" fillId="5" borderId="12" xfId="0" applyFill="1" applyBorder="1"/>
    <xf numFmtId="0" fontId="0" fillId="5" borderId="13" xfId="0" applyFill="1" applyBorder="1"/>
    <xf numFmtId="0" fontId="0" fillId="0" borderId="0" xfId="0"/>
    <xf numFmtId="0" fontId="0" fillId="5" borderId="22" xfId="0" applyFill="1" applyBorder="1"/>
    <xf numFmtId="0" fontId="0" fillId="5" borderId="21" xfId="0" applyFill="1" applyBorder="1"/>
    <xf numFmtId="0" fontId="0" fillId="0" borderId="0" xfId="0"/>
    <xf numFmtId="0" fontId="0" fillId="0" borderId="0" xfId="0"/>
    <xf numFmtId="0" fontId="0" fillId="0" borderId="0" xfId="0"/>
    <xf numFmtId="0" fontId="7" fillId="5" borderId="0" xfId="0" applyFont="1" applyFill="1"/>
    <xf numFmtId="0" fontId="7" fillId="5" borderId="0" xfId="0" applyFont="1" applyFill="1" applyAlignment="1">
      <alignment horizontal="left"/>
    </xf>
    <xf numFmtId="0" fontId="10" fillId="8" borderId="0" xfId="0" applyFont="1" applyFill="1" applyAlignment="1"/>
    <xf numFmtId="0" fontId="10" fillId="8" borderId="0" xfId="0" applyFont="1" applyFill="1"/>
    <xf numFmtId="0" fontId="3" fillId="5" borderId="0" xfId="0" applyFont="1" applyFill="1" applyBorder="1"/>
    <xf numFmtId="0" fontId="0" fillId="12" borderId="0" xfId="0" applyFill="1"/>
    <xf numFmtId="0" fontId="11" fillId="8" borderId="0" xfId="0" applyFont="1" applyFill="1" applyAlignment="1">
      <alignment horizontal="center"/>
    </xf>
    <xf numFmtId="0" fontId="1" fillId="12" borderId="0" xfId="0" applyFont="1" applyFill="1" applyAlignment="1">
      <alignment horizontal="center"/>
    </xf>
    <xf numFmtId="0" fontId="0" fillId="0" borderId="0" xfId="0"/>
    <xf numFmtId="0" fontId="0" fillId="0" borderId="0" xfId="0"/>
    <xf numFmtId="0" fontId="0" fillId="3" borderId="13" xfId="0" applyFill="1" applyBorder="1"/>
    <xf numFmtId="0" fontId="0" fillId="3" borderId="46" xfId="0" applyFill="1" applyBorder="1"/>
    <xf numFmtId="0" fontId="0" fillId="0" borderId="0" xfId="0"/>
    <xf numFmtId="0" fontId="0" fillId="5" borderId="46" xfId="0" applyFill="1" applyBorder="1"/>
    <xf numFmtId="0" fontId="0" fillId="8" borderId="0" xfId="0" applyFill="1"/>
    <xf numFmtId="0" fontId="0" fillId="15" borderId="0" xfId="0" applyFill="1" applyAlignment="1">
      <alignment vertical="center"/>
    </xf>
    <xf numFmtId="0" fontId="0" fillId="15" borderId="0" xfId="0" applyFill="1"/>
    <xf numFmtId="0" fontId="1" fillId="15" borderId="0" xfId="0" applyFont="1" applyFill="1" applyAlignment="1">
      <alignment horizontal="center" vertical="center"/>
    </xf>
    <xf numFmtId="0" fontId="3" fillId="5" borderId="49" xfId="0" applyFont="1" applyFill="1" applyBorder="1"/>
    <xf numFmtId="0" fontId="3" fillId="5" borderId="51" xfId="0" applyFont="1" applyFill="1" applyBorder="1"/>
    <xf numFmtId="0" fontId="0" fillId="5" borderId="48" xfId="0" applyFill="1" applyBorder="1"/>
    <xf numFmtId="0" fontId="3" fillId="0" borderId="49" xfId="0" applyFont="1" applyBorder="1"/>
    <xf numFmtId="0" fontId="0" fillId="0" borderId="51" xfId="0" applyBorder="1"/>
    <xf numFmtId="0" fontId="13" fillId="9" borderId="13" xfId="2" applyBorder="1"/>
    <xf numFmtId="0" fontId="0" fillId="0" borderId="12" xfId="0" applyBorder="1"/>
    <xf numFmtId="0" fontId="0" fillId="11" borderId="13" xfId="5" applyFont="1" applyBorder="1"/>
    <xf numFmtId="0" fontId="21" fillId="3" borderId="46" xfId="0" applyFont="1" applyFill="1" applyBorder="1"/>
    <xf numFmtId="0" fontId="0" fillId="0" borderId="48" xfId="0" applyBorder="1"/>
    <xf numFmtId="0" fontId="0" fillId="5" borderId="51" xfId="0" applyFill="1" applyBorder="1"/>
    <xf numFmtId="0" fontId="0" fillId="0" borderId="0" xfId="0"/>
    <xf numFmtId="0" fontId="0" fillId="0" borderId="0" xfId="0"/>
    <xf numFmtId="0" fontId="0" fillId="5" borderId="0" xfId="0" applyFill="1"/>
    <xf numFmtId="0" fontId="7" fillId="15" borderId="0" xfId="0" applyFont="1" applyFill="1" applyAlignment="1"/>
    <xf numFmtId="0" fontId="0" fillId="5" borderId="13" xfId="0" applyFont="1" applyFill="1" applyBorder="1"/>
    <xf numFmtId="0" fontId="0" fillId="5" borderId="12" xfId="0" applyFont="1" applyFill="1" applyBorder="1"/>
    <xf numFmtId="0" fontId="0" fillId="5" borderId="46" xfId="0" applyFont="1" applyFill="1" applyBorder="1"/>
    <xf numFmtId="0" fontId="0" fillId="5" borderId="48" xfId="0" applyFont="1" applyFill="1" applyBorder="1"/>
    <xf numFmtId="0" fontId="0" fillId="5" borderId="54" xfId="0" applyFill="1" applyBorder="1"/>
    <xf numFmtId="0" fontId="24" fillId="0" borderId="0" xfId="10" applyFont="1"/>
    <xf numFmtId="0" fontId="26" fillId="0" borderId="0" xfId="10" applyFont="1"/>
    <xf numFmtId="0" fontId="0" fillId="0" borderId="0" xfId="0"/>
    <xf numFmtId="0" fontId="18" fillId="0" borderId="0" xfId="0" applyFont="1" applyAlignment="1">
      <alignment vertical="top"/>
    </xf>
    <xf numFmtId="0" fontId="1" fillId="15" borderId="0" xfId="0" applyFont="1" applyFill="1" applyAlignment="1">
      <alignment horizontal="center" vertical="center"/>
    </xf>
    <xf numFmtId="0" fontId="11" fillId="8" borderId="0" xfId="0" applyFont="1" applyFill="1" applyAlignment="1">
      <alignment horizontal="center"/>
    </xf>
    <xf numFmtId="0" fontId="3" fillId="0" borderId="0" xfId="0" applyFont="1" applyFill="1" applyBorder="1" applyAlignment="1">
      <alignment horizontal="center" vertical="center"/>
    </xf>
    <xf numFmtId="0" fontId="0" fillId="0" borderId="0" xfId="0" applyFill="1" applyBorder="1"/>
    <xf numFmtId="0" fontId="0" fillId="5" borderId="12" xfId="0" applyFill="1" applyBorder="1" applyAlignment="1">
      <alignment wrapText="1"/>
    </xf>
    <xf numFmtId="0" fontId="0" fillId="5" borderId="13" xfId="0" applyFill="1" applyBorder="1" applyAlignment="1">
      <alignment vertical="center"/>
    </xf>
    <xf numFmtId="0" fontId="15" fillId="10" borderId="13" xfId="4" applyBorder="1" applyAlignment="1">
      <alignment horizontal="center"/>
    </xf>
    <xf numFmtId="0" fontId="14" fillId="10" borderId="13" xfId="3" applyBorder="1" applyAlignment="1">
      <alignment horizontal="center"/>
    </xf>
    <xf numFmtId="0" fontId="0" fillId="5" borderId="72" xfId="0" applyFill="1" applyBorder="1"/>
    <xf numFmtId="0" fontId="13" fillId="9" borderId="23" xfId="2" applyBorder="1" applyAlignment="1" applyProtection="1">
      <alignment wrapText="1"/>
      <protection locked="0"/>
    </xf>
    <xf numFmtId="1" fontId="13" fillId="9" borderId="23" xfId="2" applyNumberFormat="1" applyBorder="1" applyAlignment="1" applyProtection="1">
      <alignment wrapText="1"/>
      <protection locked="0"/>
    </xf>
    <xf numFmtId="0" fontId="13" fillId="9" borderId="9" xfId="2" applyBorder="1" applyProtection="1">
      <protection locked="0"/>
    </xf>
    <xf numFmtId="1" fontId="13" fillId="9" borderId="9" xfId="2" applyNumberFormat="1" applyBorder="1" applyProtection="1">
      <protection locked="0"/>
    </xf>
    <xf numFmtId="1" fontId="0" fillId="11" borderId="37" xfId="5" applyNumberFormat="1" applyFont="1" applyProtection="1">
      <protection locked="0"/>
    </xf>
    <xf numFmtId="1" fontId="13" fillId="9" borderId="35" xfId="2" applyNumberFormat="1" applyProtection="1">
      <protection locked="0"/>
    </xf>
    <xf numFmtId="1" fontId="13" fillId="11" borderId="37" xfId="5" applyNumberFormat="1" applyFont="1" applyProtection="1">
      <protection locked="0"/>
    </xf>
    <xf numFmtId="0" fontId="0" fillId="11" borderId="37" xfId="5" applyFont="1" applyProtection="1">
      <protection locked="0"/>
    </xf>
    <xf numFmtId="0" fontId="13" fillId="9" borderId="23" xfId="2" applyBorder="1" applyProtection="1">
      <protection locked="0"/>
    </xf>
    <xf numFmtId="0" fontId="0" fillId="11" borderId="37" xfId="5" applyFont="1" applyAlignment="1" applyProtection="1">
      <alignment horizontal="right"/>
      <protection locked="0"/>
    </xf>
    <xf numFmtId="0" fontId="0" fillId="11" borderId="95" xfId="5" applyFont="1" applyBorder="1" applyProtection="1">
      <protection locked="0"/>
    </xf>
    <xf numFmtId="0" fontId="13" fillId="9" borderId="42" xfId="2" applyBorder="1" applyAlignment="1" applyProtection="1">
      <alignment horizontal="right"/>
      <protection locked="0"/>
    </xf>
    <xf numFmtId="0" fontId="13" fillId="9" borderId="35" xfId="2" applyAlignment="1" applyProtection="1">
      <alignment horizontal="right"/>
      <protection locked="0"/>
    </xf>
    <xf numFmtId="0" fontId="0" fillId="3" borderId="12" xfId="0" applyFill="1" applyBorder="1" applyProtection="1">
      <protection locked="0"/>
    </xf>
    <xf numFmtId="0" fontId="0" fillId="3" borderId="48" xfId="0" applyFill="1" applyBorder="1" applyProtection="1">
      <protection locked="0"/>
    </xf>
    <xf numFmtId="165" fontId="13" fillId="9" borderId="9" xfId="1" applyNumberFormat="1" applyFont="1" applyFill="1" applyBorder="1" applyProtection="1">
      <protection locked="0"/>
    </xf>
    <xf numFmtId="0" fontId="13" fillId="9" borderId="35" xfId="2" applyBorder="1" applyProtection="1">
      <protection locked="0"/>
    </xf>
    <xf numFmtId="165" fontId="13" fillId="9" borderId="9" xfId="2" applyNumberFormat="1" applyBorder="1" applyProtection="1">
      <protection locked="0"/>
    </xf>
    <xf numFmtId="9" fontId="13" fillId="9" borderId="9" xfId="2" applyNumberFormat="1" applyBorder="1" applyProtection="1">
      <protection locked="0"/>
    </xf>
    <xf numFmtId="9" fontId="13" fillId="9" borderId="9" xfId="1" applyFont="1" applyFill="1" applyBorder="1" applyProtection="1">
      <protection locked="0"/>
    </xf>
    <xf numFmtId="9" fontId="13" fillId="9" borderId="35" xfId="2" applyNumberFormat="1" applyBorder="1" applyProtection="1">
      <protection locked="0"/>
    </xf>
    <xf numFmtId="10" fontId="13" fillId="9" borderId="35" xfId="2" applyNumberFormat="1" applyBorder="1" applyProtection="1">
      <protection locked="0"/>
    </xf>
    <xf numFmtId="167" fontId="13" fillId="9" borderId="40" xfId="1" applyNumberFormat="1" applyFont="1" applyFill="1" applyBorder="1" applyProtection="1">
      <protection locked="0"/>
    </xf>
    <xf numFmtId="0" fontId="13" fillId="9" borderId="99" xfId="2" applyBorder="1" applyProtection="1">
      <protection locked="0"/>
    </xf>
    <xf numFmtId="2" fontId="13" fillId="9" borderId="34" xfId="1" applyNumberFormat="1" applyFont="1" applyFill="1" applyBorder="1" applyAlignment="1" applyProtection="1">
      <alignment horizontal="center"/>
      <protection locked="0"/>
    </xf>
    <xf numFmtId="0" fontId="13" fillId="9" borderId="87" xfId="2" applyBorder="1" applyProtection="1">
      <protection locked="0"/>
    </xf>
    <xf numFmtId="0" fontId="13" fillId="9" borderId="81" xfId="2" applyBorder="1" applyProtection="1">
      <protection locked="0"/>
    </xf>
    <xf numFmtId="0" fontId="16" fillId="11" borderId="82" xfId="5" applyFont="1" applyBorder="1" applyProtection="1">
      <protection locked="0"/>
    </xf>
    <xf numFmtId="2" fontId="16" fillId="11" borderId="82" xfId="5" applyNumberFormat="1" applyFont="1" applyBorder="1" applyProtection="1">
      <protection locked="0"/>
    </xf>
    <xf numFmtId="0" fontId="16" fillId="11" borderId="0" xfId="5" applyFont="1" applyBorder="1" applyProtection="1">
      <protection locked="0"/>
    </xf>
    <xf numFmtId="2" fontId="16" fillId="11" borderId="89" xfId="5" applyNumberFormat="1" applyFont="1" applyBorder="1" applyProtection="1">
      <protection locked="0"/>
    </xf>
    <xf numFmtId="2" fontId="16" fillId="11" borderId="90" xfId="5" applyNumberFormat="1" applyFont="1" applyBorder="1" applyProtection="1">
      <protection locked="0"/>
    </xf>
    <xf numFmtId="0" fontId="0" fillId="11" borderId="91" xfId="5" applyFont="1" applyBorder="1" applyProtection="1">
      <protection locked="0"/>
    </xf>
    <xf numFmtId="0" fontId="0" fillId="11" borderId="92" xfId="5" applyFont="1" applyBorder="1" applyProtection="1">
      <protection locked="0"/>
    </xf>
    <xf numFmtId="0" fontId="0" fillId="11" borderId="93" xfId="5" applyFont="1" applyBorder="1" applyProtection="1">
      <protection locked="0"/>
    </xf>
    <xf numFmtId="2" fontId="13" fillId="9" borderId="9" xfId="2" applyNumberFormat="1" applyBorder="1" applyAlignment="1" applyProtection="1">
      <alignment horizontal="center"/>
      <protection locked="0"/>
    </xf>
    <xf numFmtId="0" fontId="0" fillId="11" borderId="89" xfId="5" applyFont="1" applyBorder="1" applyAlignment="1" applyProtection="1">
      <alignment horizontal="center"/>
      <protection locked="0"/>
    </xf>
    <xf numFmtId="0" fontId="13" fillId="9" borderId="35" xfId="2" applyBorder="1" applyAlignment="1" applyProtection="1">
      <alignment horizontal="center"/>
      <protection locked="0"/>
    </xf>
    <xf numFmtId="9" fontId="0" fillId="11" borderId="9" xfId="5" applyNumberFormat="1" applyFont="1" applyBorder="1" applyProtection="1">
      <protection locked="0"/>
    </xf>
    <xf numFmtId="9" fontId="0" fillId="11" borderId="89" xfId="5" applyNumberFormat="1" applyFont="1" applyBorder="1" applyProtection="1">
      <protection locked="0"/>
    </xf>
    <xf numFmtId="9" fontId="0" fillId="11" borderId="82" xfId="5" applyNumberFormat="1" applyFont="1" applyBorder="1" applyProtection="1">
      <protection locked="0"/>
    </xf>
    <xf numFmtId="9" fontId="0" fillId="11" borderId="83" xfId="5" applyNumberFormat="1" applyFont="1" applyBorder="1" applyProtection="1">
      <protection locked="0"/>
    </xf>
    <xf numFmtId="9" fontId="0" fillId="11" borderId="37" xfId="5" applyNumberFormat="1" applyFont="1" applyBorder="1" applyProtection="1">
      <protection locked="0"/>
    </xf>
    <xf numFmtId="9" fontId="0" fillId="11" borderId="41" xfId="5" applyNumberFormat="1" applyFont="1" applyBorder="1" applyProtection="1">
      <protection locked="0"/>
    </xf>
    <xf numFmtId="0" fontId="13" fillId="9" borderId="53" xfId="2" applyBorder="1" applyAlignment="1" applyProtection="1">
      <alignment horizontal="center"/>
      <protection locked="0"/>
    </xf>
    <xf numFmtId="2" fontId="13" fillId="9" borderId="9" xfId="2" applyNumberFormat="1" applyBorder="1" applyProtection="1">
      <protection locked="0"/>
    </xf>
    <xf numFmtId="0" fontId="13" fillId="9" borderId="35" xfId="2" applyProtection="1">
      <protection locked="0"/>
    </xf>
    <xf numFmtId="2" fontId="13" fillId="9" borderId="12" xfId="2" applyNumberFormat="1" applyBorder="1" applyProtection="1">
      <protection locked="0"/>
    </xf>
    <xf numFmtId="0" fontId="13" fillId="9" borderId="38" xfId="2" applyBorder="1" applyAlignment="1" applyProtection="1">
      <alignment horizontal="right"/>
      <protection locked="0"/>
    </xf>
    <xf numFmtId="9" fontId="13" fillId="11" borderId="45" xfId="5" applyNumberFormat="1" applyFont="1" applyBorder="1" applyAlignment="1" applyProtection="1">
      <alignment horizontal="right"/>
      <protection locked="0"/>
    </xf>
    <xf numFmtId="0" fontId="13" fillId="11" borderId="45" xfId="5" applyFont="1" applyBorder="1" applyAlignment="1" applyProtection="1">
      <alignment horizontal="right"/>
      <protection locked="0"/>
    </xf>
    <xf numFmtId="0" fontId="24" fillId="11" borderId="45" xfId="5" applyFont="1" applyBorder="1" applyProtection="1">
      <protection locked="0"/>
    </xf>
    <xf numFmtId="0" fontId="13" fillId="9" borderId="38" xfId="2" applyBorder="1" applyProtection="1">
      <protection locked="0"/>
    </xf>
    <xf numFmtId="9" fontId="24" fillId="11" borderId="45" xfId="1" applyFont="1" applyFill="1" applyBorder="1" applyProtection="1">
      <protection locked="0"/>
    </xf>
    <xf numFmtId="0" fontId="0" fillId="0" borderId="59" xfId="0" quotePrefix="1" applyNumberFormat="1" applyBorder="1" applyAlignment="1" applyProtection="1">
      <alignment horizontal="center"/>
      <protection locked="0"/>
    </xf>
    <xf numFmtId="0" fontId="24" fillId="0" borderId="0" xfId="10" applyFont="1" applyProtection="1">
      <protection locked="0"/>
    </xf>
    <xf numFmtId="0" fontId="13" fillId="9" borderId="59" xfId="2" applyBorder="1" applyAlignment="1" applyProtection="1">
      <alignment vertical="center" wrapText="1"/>
      <protection locked="0"/>
    </xf>
    <xf numFmtId="0" fontId="13" fillId="9" borderId="62" xfId="2" applyBorder="1" applyAlignment="1" applyProtection="1">
      <alignment vertical="center" wrapText="1"/>
      <protection locked="0"/>
    </xf>
    <xf numFmtId="0" fontId="0" fillId="0" borderId="0" xfId="0"/>
    <xf numFmtId="0" fontId="0" fillId="0" borderId="3" xfId="0"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0" fillId="0" borderId="5" xfId="0" applyBorder="1" applyProtection="1">
      <protection locked="0"/>
    </xf>
    <xf numFmtId="0" fontId="3" fillId="5" borderId="9" xfId="0" applyFont="1" applyFill="1" applyBorder="1" applyAlignment="1" applyProtection="1">
      <alignment horizontal="center"/>
      <protection locked="0"/>
    </xf>
    <xf numFmtId="0" fontId="3" fillId="0" borderId="11" xfId="0" applyFont="1" applyBorder="1" applyProtection="1">
      <protection locked="0"/>
    </xf>
    <xf numFmtId="0" fontId="3" fillId="0" borderId="9" xfId="0" applyFont="1" applyBorder="1" applyProtection="1">
      <protection locked="0"/>
    </xf>
    <xf numFmtId="0" fontId="3" fillId="0" borderId="9" xfId="0" applyFont="1" applyBorder="1" applyAlignment="1" applyProtection="1">
      <alignment horizontal="center"/>
      <protection locked="0"/>
    </xf>
    <xf numFmtId="0" fontId="23" fillId="0" borderId="0" xfId="10" applyProtection="1">
      <protection locked="0"/>
    </xf>
    <xf numFmtId="0" fontId="13" fillId="0" borderId="0" xfId="2" applyFill="1"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4" xfId="0" applyBorder="1" applyProtection="1"/>
    <xf numFmtId="0" fontId="0" fillId="0" borderId="0" xfId="0" applyProtection="1"/>
    <xf numFmtId="0" fontId="0" fillId="0" borderId="0" xfId="0" applyBorder="1" applyProtection="1"/>
    <xf numFmtId="0" fontId="3" fillId="0" borderId="33" xfId="0" applyFont="1" applyBorder="1" applyProtection="1"/>
    <xf numFmtId="0" fontId="0" fillId="0" borderId="27" xfId="0" applyBorder="1" applyProtection="1"/>
    <xf numFmtId="0" fontId="0" fillId="0" borderId="9" xfId="0" applyBorder="1" applyProtection="1"/>
    <xf numFmtId="0" fontId="3" fillId="0" borderId="9" xfId="0" applyFont="1" applyBorder="1" applyProtection="1"/>
    <xf numFmtId="0" fontId="0" fillId="0" borderId="23" xfId="0" applyBorder="1" applyProtection="1"/>
    <xf numFmtId="1" fontId="0" fillId="0" borderId="37" xfId="5" applyNumberFormat="1" applyFont="1" applyFill="1" applyProtection="1"/>
    <xf numFmtId="1" fontId="0" fillId="0" borderId="9" xfId="0" applyNumberFormat="1" applyBorder="1" applyProtection="1"/>
    <xf numFmtId="0" fontId="0" fillId="0" borderId="18" xfId="0" applyBorder="1" applyProtection="1"/>
    <xf numFmtId="0" fontId="0" fillId="0" borderId="34" xfId="0" applyBorder="1" applyProtection="1"/>
    <xf numFmtId="0" fontId="3" fillId="0" borderId="13" xfId="0" applyFont="1" applyBorder="1" applyProtection="1"/>
    <xf numFmtId="0" fontId="0" fillId="0" borderId="5" xfId="0" applyBorder="1" applyProtection="1"/>
    <xf numFmtId="0" fontId="3" fillId="0" borderId="9" xfId="0" applyFont="1" applyFill="1" applyBorder="1" applyAlignment="1" applyProtection="1">
      <alignment horizontal="center"/>
    </xf>
    <xf numFmtId="0" fontId="3" fillId="0" borderId="9" xfId="0" applyFont="1" applyFill="1" applyBorder="1" applyProtection="1"/>
    <xf numFmtId="0" fontId="0" fillId="0" borderId="29" xfId="0" applyBorder="1" applyAlignment="1" applyProtection="1"/>
    <xf numFmtId="0" fontId="0" fillId="0" borderId="24" xfId="0" applyBorder="1" applyAlignment="1" applyProtection="1"/>
    <xf numFmtId="0" fontId="0" fillId="0" borderId="29" xfId="0" applyBorder="1" applyProtection="1"/>
    <xf numFmtId="0" fontId="0" fillId="0" borderId="23" xfId="0" applyBorder="1" applyAlignment="1" applyProtection="1"/>
    <xf numFmtId="0" fontId="0" fillId="0" borderId="10" xfId="0" applyBorder="1" applyAlignment="1" applyProtection="1"/>
    <xf numFmtId="0" fontId="0" fillId="0" borderId="74" xfId="0" applyBorder="1" applyAlignment="1" applyProtection="1"/>
    <xf numFmtId="0" fontId="0" fillId="0" borderId="9" xfId="0" applyBorder="1" applyAlignment="1" applyProtection="1"/>
    <xf numFmtId="0" fontId="0" fillId="0" borderId="17" xfId="0" applyBorder="1" applyAlignment="1" applyProtection="1"/>
    <xf numFmtId="0" fontId="0" fillId="0" borderId="0" xfId="0" applyBorder="1" applyAlignment="1" applyProtection="1"/>
    <xf numFmtId="0" fontId="0" fillId="0" borderId="57" xfId="0" applyBorder="1" applyProtection="1"/>
    <xf numFmtId="0" fontId="0" fillId="0" borderId="73" xfId="0" applyBorder="1" applyProtection="1"/>
    <xf numFmtId="0" fontId="0" fillId="0" borderId="10" xfId="0" applyBorder="1" applyProtection="1"/>
    <xf numFmtId="0" fontId="0" fillId="0" borderId="11" xfId="0" applyBorder="1" applyProtection="1"/>
    <xf numFmtId="0" fontId="0" fillId="0" borderId="104" xfId="0" applyBorder="1" applyAlignment="1" applyProtection="1"/>
    <xf numFmtId="0" fontId="0" fillId="0" borderId="0" xfId="0" applyBorder="1" applyAlignment="1" applyProtection="1">
      <alignment horizontal="center"/>
    </xf>
    <xf numFmtId="0" fontId="13" fillId="0" borderId="0" xfId="2" applyFill="1" applyBorder="1" applyProtection="1"/>
    <xf numFmtId="0" fontId="0" fillId="0" borderId="22" xfId="0" applyBorder="1" applyProtection="1"/>
    <xf numFmtId="0" fontId="0" fillId="0" borderId="20" xfId="0" applyBorder="1" applyProtection="1"/>
    <xf numFmtId="0" fontId="3" fillId="0" borderId="23" xfId="0" applyFont="1" applyBorder="1" applyProtection="1"/>
    <xf numFmtId="0" fontId="0" fillId="5" borderId="0" xfId="0" applyFont="1" applyFill="1" applyBorder="1"/>
    <xf numFmtId="0" fontId="3" fillId="0" borderId="33" xfId="0" applyFont="1" applyBorder="1" applyAlignment="1" applyProtection="1">
      <alignment horizontal="left"/>
    </xf>
    <xf numFmtId="0" fontId="3" fillId="0" borderId="11" xfId="0" applyFont="1" applyBorder="1" applyAlignment="1" applyProtection="1">
      <alignment horizontal="left"/>
    </xf>
    <xf numFmtId="0" fontId="0" fillId="0" borderId="0" xfId="0"/>
    <xf numFmtId="0" fontId="18" fillId="0" borderId="0" xfId="0" applyFont="1" applyAlignment="1">
      <alignment horizontal="left" vertical="center" wrapText="1"/>
    </xf>
    <xf numFmtId="0" fontId="0" fillId="0" borderId="29" xfId="0" applyBorder="1" applyAlignment="1" applyProtection="1">
      <alignment horizontal="center"/>
    </xf>
    <xf numFmtId="0" fontId="0" fillId="0" borderId="24" xfId="0" applyBorder="1" applyAlignment="1" applyProtection="1">
      <alignment horizontal="center"/>
    </xf>
    <xf numFmtId="0" fontId="0" fillId="0" borderId="23" xfId="0" applyBorder="1" applyAlignment="1" applyProtection="1">
      <alignment horizontal="center"/>
    </xf>
    <xf numFmtId="0" fontId="3" fillId="0" borderId="75" xfId="0" applyFont="1" applyBorder="1" applyAlignment="1" applyProtection="1">
      <alignment horizontal="center" vertical="center"/>
    </xf>
    <xf numFmtId="0" fontId="3" fillId="0" borderId="74" xfId="0" applyFont="1" applyBorder="1" applyAlignment="1" applyProtection="1">
      <alignment horizontal="center" vertical="center"/>
    </xf>
    <xf numFmtId="0" fontId="3" fillId="0" borderId="73"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20" xfId="0" applyFont="1" applyBorder="1" applyAlignment="1" applyProtection="1">
      <alignment horizontal="center" vertical="center"/>
    </xf>
    <xf numFmtId="2" fontId="3" fillId="0" borderId="29" xfId="0" applyNumberFormat="1" applyFont="1" applyBorder="1" applyAlignment="1" applyProtection="1">
      <alignment horizontal="center" vertical="center"/>
    </xf>
    <xf numFmtId="2" fontId="3" fillId="0" borderId="23" xfId="0" applyNumberFormat="1"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10" xfId="0" applyFont="1" applyBorder="1" applyAlignment="1" applyProtection="1">
      <alignment horizontal="center"/>
    </xf>
    <xf numFmtId="0" fontId="3" fillId="0" borderId="11" xfId="0" applyFont="1" applyBorder="1" applyAlignment="1" applyProtection="1">
      <alignment horizontal="center"/>
    </xf>
    <xf numFmtId="0" fontId="6" fillId="13" borderId="1" xfId="0" applyFont="1" applyFill="1" applyBorder="1" applyAlignment="1" applyProtection="1">
      <alignment horizontal="center"/>
    </xf>
    <xf numFmtId="0" fontId="6" fillId="13" borderId="2" xfId="0" applyFont="1" applyFill="1" applyBorder="1" applyAlignment="1" applyProtection="1">
      <alignment horizontal="center"/>
    </xf>
    <xf numFmtId="0" fontId="6" fillId="13" borderId="3" xfId="0" applyFont="1" applyFill="1" applyBorder="1" applyAlignment="1" applyProtection="1">
      <alignment horizontal="center"/>
    </xf>
    <xf numFmtId="0" fontId="3" fillId="8" borderId="9" xfId="0" applyFont="1" applyFill="1" applyBorder="1" applyAlignment="1" applyProtection="1">
      <alignment horizontal="center"/>
      <protection locked="0"/>
    </xf>
    <xf numFmtId="0" fontId="3" fillId="12" borderId="9" xfId="0" applyFont="1" applyFill="1" applyBorder="1" applyAlignment="1" applyProtection="1">
      <alignment horizontal="center"/>
      <protection locked="0"/>
    </xf>
    <xf numFmtId="0" fontId="0" fillId="0" borderId="10"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11" xfId="0" applyBorder="1" applyAlignment="1" applyProtection="1">
      <alignment horizontal="center"/>
      <protection locked="0"/>
    </xf>
    <xf numFmtId="0" fontId="23" fillId="0" borderId="10" xfId="10" applyBorder="1" applyAlignment="1" applyProtection="1">
      <alignment horizontal="center"/>
      <protection locked="0"/>
    </xf>
    <xf numFmtId="0" fontId="23" fillId="0" borderId="27" xfId="10" applyBorder="1" applyAlignment="1" applyProtection="1">
      <alignment horizontal="center"/>
      <protection locked="0"/>
    </xf>
    <xf numFmtId="0" fontId="23" fillId="0" borderId="11" xfId="10" applyBorder="1" applyAlignment="1" applyProtection="1">
      <alignment horizontal="center"/>
      <protection locked="0"/>
    </xf>
    <xf numFmtId="0" fontId="13" fillId="9" borderId="10" xfId="2" applyBorder="1" applyAlignment="1" applyProtection="1">
      <alignment horizontal="center"/>
      <protection locked="0"/>
    </xf>
    <xf numFmtId="0" fontId="13" fillId="9" borderId="27" xfId="2" applyBorder="1" applyAlignment="1" applyProtection="1">
      <alignment horizontal="center"/>
      <protection locked="0"/>
    </xf>
    <xf numFmtId="0" fontId="13" fillId="9" borderId="11" xfId="2" applyBorder="1" applyAlignment="1" applyProtection="1">
      <alignment horizontal="center"/>
      <protection locked="0"/>
    </xf>
    <xf numFmtId="0" fontId="3" fillId="15" borderId="10" xfId="0" applyFont="1" applyFill="1" applyBorder="1" applyAlignment="1" applyProtection="1">
      <alignment horizontal="center"/>
      <protection locked="0"/>
    </xf>
    <xf numFmtId="0" fontId="3" fillId="15" borderId="27" xfId="0" applyFont="1" applyFill="1" applyBorder="1" applyAlignment="1" applyProtection="1">
      <alignment horizontal="center"/>
      <protection locked="0"/>
    </xf>
    <xf numFmtId="0" fontId="3" fillId="15" borderId="11" xfId="0" applyFont="1" applyFill="1" applyBorder="1" applyAlignment="1" applyProtection="1">
      <alignment horizontal="center"/>
      <protection locked="0"/>
    </xf>
    <xf numFmtId="0" fontId="3" fillId="14" borderId="49" xfId="0" applyFont="1" applyFill="1" applyBorder="1" applyAlignment="1">
      <alignment horizontal="center" vertical="center"/>
    </xf>
    <xf numFmtId="0" fontId="3" fillId="14" borderId="51" xfId="0" applyFont="1" applyFill="1" applyBorder="1" applyAlignment="1">
      <alignment horizontal="center" vertical="center"/>
    </xf>
    <xf numFmtId="0" fontId="0" fillId="0" borderId="10" xfId="0" applyBorder="1" applyAlignment="1" applyProtection="1">
      <alignment horizontal="center"/>
    </xf>
    <xf numFmtId="0" fontId="0" fillId="0" borderId="27" xfId="0" applyBorder="1" applyAlignment="1" applyProtection="1">
      <alignment horizontal="center"/>
    </xf>
    <xf numFmtId="0" fontId="0" fillId="0" borderId="11" xfId="0" applyBorder="1" applyAlignment="1" applyProtection="1">
      <alignment horizontal="center"/>
    </xf>
    <xf numFmtId="0" fontId="3" fillId="0" borderId="33" xfId="0" applyFont="1" applyBorder="1" applyAlignment="1" applyProtection="1">
      <alignment horizontal="left"/>
    </xf>
    <xf numFmtId="0" fontId="3" fillId="0" borderId="27" xfId="0" applyFont="1" applyBorder="1" applyAlignment="1" applyProtection="1">
      <alignment horizontal="left"/>
    </xf>
    <xf numFmtId="0" fontId="3" fillId="0" borderId="11" xfId="0" applyFont="1" applyBorder="1" applyAlignment="1" applyProtection="1">
      <alignment horizontal="left"/>
    </xf>
    <xf numFmtId="0" fontId="0" fillId="0" borderId="29" xfId="0" applyBorder="1" applyAlignment="1" applyProtection="1">
      <alignment horizontal="left" vertical="center"/>
    </xf>
    <xf numFmtId="0" fontId="0" fillId="0" borderId="23" xfId="0" applyBorder="1" applyAlignment="1" applyProtection="1">
      <alignment horizontal="left" vertical="center"/>
    </xf>
    <xf numFmtId="0" fontId="0" fillId="11" borderId="37" xfId="5" applyFont="1" applyAlignment="1" applyProtection="1">
      <alignment horizontal="right" vertical="center"/>
      <protection locked="0"/>
    </xf>
    <xf numFmtId="0" fontId="3" fillId="0" borderId="29"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2" fontId="39" fillId="0" borderId="29" xfId="2" applyNumberFormat="1" applyFont="1" applyFill="1" applyBorder="1" applyAlignment="1" applyProtection="1">
      <alignment horizontal="center" vertical="center"/>
    </xf>
    <xf numFmtId="2" fontId="39" fillId="0" borderId="23" xfId="2" applyNumberFormat="1" applyFont="1" applyFill="1" applyBorder="1" applyAlignment="1" applyProtection="1">
      <alignment horizontal="center" vertical="center"/>
    </xf>
    <xf numFmtId="0" fontId="7" fillId="8" borderId="0" xfId="0" applyFont="1" applyFill="1" applyAlignment="1">
      <alignment horizontal="center"/>
    </xf>
    <xf numFmtId="0" fontId="13" fillId="9" borderId="44" xfId="2" applyBorder="1" applyAlignment="1" applyProtection="1">
      <alignment horizontal="center"/>
      <protection locked="0"/>
    </xf>
    <xf numFmtId="0" fontId="13" fillId="9" borderId="34" xfId="2" applyBorder="1" applyAlignment="1" applyProtection="1">
      <alignment horizontal="center"/>
      <protection locked="0"/>
    </xf>
    <xf numFmtId="0" fontId="13" fillId="9" borderId="26" xfId="2" applyBorder="1" applyAlignment="1" applyProtection="1">
      <alignment horizontal="center"/>
      <protection locked="0"/>
    </xf>
    <xf numFmtId="0" fontId="7" fillId="12" borderId="0" xfId="0" applyFont="1" applyFill="1"/>
    <xf numFmtId="0" fontId="7" fillId="15" borderId="0" xfId="0" applyFont="1" applyFill="1"/>
    <xf numFmtId="0" fontId="23" fillId="0" borderId="0" xfId="10" applyProtection="1"/>
    <xf numFmtId="0" fontId="0" fillId="5" borderId="0" xfId="0" applyFill="1" applyProtection="1"/>
    <xf numFmtId="0" fontId="7" fillId="5" borderId="0" xfId="0" applyFont="1" applyFill="1" applyProtection="1"/>
    <xf numFmtId="0" fontId="0" fillId="15" borderId="0" xfId="0" applyFill="1" applyAlignment="1" applyProtection="1">
      <alignment vertical="center"/>
    </xf>
    <xf numFmtId="0" fontId="10" fillId="8" borderId="0" xfId="0" applyFont="1" applyFill="1" applyAlignment="1" applyProtection="1"/>
    <xf numFmtId="0" fontId="10" fillId="5" borderId="0" xfId="0" applyFont="1" applyFill="1" applyAlignment="1" applyProtection="1"/>
    <xf numFmtId="0" fontId="10" fillId="5" borderId="0" xfId="0" applyFont="1" applyFill="1" applyProtection="1"/>
    <xf numFmtId="0" fontId="0" fillId="12" borderId="0" xfId="0" applyFill="1" applyProtection="1"/>
    <xf numFmtId="0" fontId="7" fillId="5" borderId="0" xfId="0" applyFont="1" applyFill="1" applyAlignment="1" applyProtection="1">
      <alignment horizontal="left"/>
    </xf>
    <xf numFmtId="0" fontId="1" fillId="15" borderId="0" xfId="0" applyFont="1" applyFill="1" applyAlignment="1" applyProtection="1">
      <alignment horizontal="center" vertical="center"/>
    </xf>
    <xf numFmtId="0" fontId="11" fillId="8" borderId="0" xfId="0" applyFont="1" applyFill="1" applyAlignment="1" applyProtection="1">
      <alignment horizontal="center"/>
    </xf>
    <xf numFmtId="0" fontId="1" fillId="12" borderId="0" xfId="0" applyFont="1" applyFill="1" applyAlignment="1" applyProtection="1">
      <alignment horizontal="center"/>
    </xf>
    <xf numFmtId="0" fontId="0" fillId="15" borderId="0" xfId="0" applyFill="1" applyProtection="1"/>
    <xf numFmtId="0" fontId="10" fillId="8" borderId="0" xfId="0" applyFont="1" applyFill="1" applyProtection="1"/>
    <xf numFmtId="0" fontId="6" fillId="13" borderId="30" xfId="0" applyFont="1" applyFill="1" applyBorder="1" applyAlignment="1" applyProtection="1">
      <alignment horizontal="center"/>
    </xf>
    <xf numFmtId="0" fontId="6" fillId="13" borderId="31" xfId="0" applyFont="1" applyFill="1" applyBorder="1" applyAlignment="1" applyProtection="1">
      <alignment horizontal="center"/>
    </xf>
    <xf numFmtId="0" fontId="6" fillId="13" borderId="32" xfId="0" applyFont="1" applyFill="1" applyBorder="1" applyAlignment="1" applyProtection="1">
      <alignment horizontal="center"/>
    </xf>
    <xf numFmtId="0" fontId="0" fillId="5" borderId="4" xfId="0" applyFill="1" applyBorder="1" applyProtection="1"/>
    <xf numFmtId="0" fontId="0" fillId="5" borderId="0" xfId="0" applyFill="1" applyBorder="1" applyProtection="1"/>
    <xf numFmtId="0" fontId="0" fillId="0" borderId="25" xfId="0" applyBorder="1" applyAlignment="1" applyProtection="1">
      <alignment horizontal="center"/>
    </xf>
    <xf numFmtId="0" fontId="1" fillId="14" borderId="30" xfId="0" applyFont="1" applyFill="1" applyBorder="1" applyAlignment="1" applyProtection="1">
      <alignment horizontal="center" wrapText="1"/>
    </xf>
    <xf numFmtId="0" fontId="1" fillId="14" borderId="31" xfId="0" applyFont="1" applyFill="1" applyBorder="1" applyAlignment="1" applyProtection="1">
      <alignment horizontal="center" wrapText="1"/>
    </xf>
    <xf numFmtId="0" fontId="1" fillId="14" borderId="32" xfId="0" applyFont="1" applyFill="1" applyBorder="1" applyAlignment="1" applyProtection="1">
      <alignment horizontal="center" wrapText="1"/>
    </xf>
    <xf numFmtId="0" fontId="0" fillId="5" borderId="13" xfId="0" applyFill="1" applyBorder="1" applyProtection="1"/>
    <xf numFmtId="0" fontId="0" fillId="5" borderId="9" xfId="0" applyFill="1" applyBorder="1" applyProtection="1"/>
    <xf numFmtId="0" fontId="0" fillId="5" borderId="12" xfId="0" applyFill="1" applyBorder="1" applyProtection="1"/>
    <xf numFmtId="0" fontId="0" fillId="3" borderId="13" xfId="0" applyFill="1" applyBorder="1" applyProtection="1"/>
    <xf numFmtId="0" fontId="0" fillId="3" borderId="11" xfId="0" applyFill="1" applyBorder="1" applyProtection="1"/>
    <xf numFmtId="0" fontId="0" fillId="3" borderId="28" xfId="0" applyFill="1" applyBorder="1" applyProtection="1"/>
    <xf numFmtId="9" fontId="15" fillId="10" borderId="9" xfId="4" applyNumberFormat="1" applyBorder="1" applyProtection="1"/>
    <xf numFmtId="0" fontId="0" fillId="3" borderId="21" xfId="0" applyFill="1" applyBorder="1" applyProtection="1"/>
    <xf numFmtId="2" fontId="0" fillId="3" borderId="73" xfId="0" applyNumberFormat="1" applyFill="1" applyBorder="1" applyAlignment="1" applyProtection="1">
      <alignment horizontal="center"/>
    </xf>
    <xf numFmtId="2" fontId="0" fillId="3" borderId="70" xfId="0" applyNumberFormat="1" applyFill="1" applyBorder="1" applyAlignment="1" applyProtection="1">
      <alignment horizontal="center"/>
    </xf>
    <xf numFmtId="2" fontId="13" fillId="0" borderId="9" xfId="2" applyNumberFormat="1" applyFill="1" applyBorder="1" applyProtection="1"/>
    <xf numFmtId="2" fontId="0" fillId="5" borderId="9" xfId="0" applyNumberFormat="1" applyFill="1" applyBorder="1" applyProtection="1"/>
    <xf numFmtId="2" fontId="0" fillId="5" borderId="0" xfId="0" applyNumberFormat="1" applyFill="1" applyBorder="1" applyProtection="1"/>
    <xf numFmtId="2" fontId="0" fillId="3" borderId="11" xfId="0" applyNumberFormat="1" applyFill="1" applyBorder="1" applyAlignment="1" applyProtection="1">
      <alignment horizontal="center"/>
    </xf>
    <xf numFmtId="2" fontId="0" fillId="3" borderId="28" xfId="0" applyNumberFormat="1" applyFill="1" applyBorder="1" applyAlignment="1" applyProtection="1">
      <alignment horizontal="center"/>
    </xf>
    <xf numFmtId="2" fontId="15" fillId="10" borderId="9" xfId="4" applyNumberFormat="1" applyBorder="1" applyProtection="1"/>
    <xf numFmtId="0" fontId="0" fillId="5" borderId="22" xfId="0" applyFill="1" applyBorder="1" applyProtection="1"/>
    <xf numFmtId="0" fontId="0" fillId="3" borderId="18" xfId="0" applyFill="1" applyBorder="1" applyProtection="1"/>
    <xf numFmtId="2" fontId="0" fillId="3" borderId="17" xfId="0" applyNumberFormat="1" applyFill="1" applyBorder="1" applyAlignment="1" applyProtection="1">
      <alignment horizontal="center"/>
    </xf>
    <xf numFmtId="2" fontId="0" fillId="3" borderId="5" xfId="0" applyNumberFormat="1" applyFill="1" applyBorder="1" applyAlignment="1" applyProtection="1">
      <alignment horizontal="center"/>
    </xf>
    <xf numFmtId="0" fontId="0" fillId="5" borderId="18" xfId="0" applyFill="1" applyBorder="1" applyProtection="1"/>
    <xf numFmtId="0" fontId="0" fillId="5" borderId="5" xfId="0" applyFill="1" applyBorder="1" applyProtection="1"/>
    <xf numFmtId="0" fontId="0" fillId="5" borderId="10" xfId="0" applyFill="1" applyBorder="1" applyAlignment="1" applyProtection="1">
      <alignment horizontal="center"/>
    </xf>
    <xf numFmtId="0" fontId="0" fillId="5" borderId="11" xfId="0" applyFill="1" applyBorder="1" applyAlignment="1" applyProtection="1">
      <alignment horizontal="center"/>
    </xf>
    <xf numFmtId="0" fontId="0" fillId="5" borderId="9" xfId="0" applyFill="1" applyBorder="1" applyAlignment="1" applyProtection="1">
      <alignment horizontal="center"/>
    </xf>
    <xf numFmtId="0" fontId="0" fillId="5" borderId="12" xfId="0" applyFill="1" applyBorder="1" applyAlignment="1" applyProtection="1">
      <alignment horizontal="center"/>
    </xf>
    <xf numFmtId="9" fontId="0" fillId="5" borderId="9" xfId="1" applyFont="1" applyFill="1" applyBorder="1" applyAlignment="1" applyProtection="1">
      <alignment horizontal="center"/>
    </xf>
    <xf numFmtId="0" fontId="0" fillId="3" borderId="22" xfId="0" applyFill="1" applyBorder="1" applyProtection="1"/>
    <xf numFmtId="2" fontId="15" fillId="10" borderId="35" xfId="4" applyNumberFormat="1" applyBorder="1" applyProtection="1"/>
    <xf numFmtId="2" fontId="15" fillId="10" borderId="38" xfId="4" applyNumberFormat="1" applyBorder="1" applyProtection="1"/>
    <xf numFmtId="0" fontId="0" fillId="3" borderId="46" xfId="0" applyFill="1" applyBorder="1" applyProtection="1"/>
    <xf numFmtId="2" fontId="0" fillId="3" borderId="71" xfId="0" applyNumberFormat="1" applyFill="1" applyBorder="1" applyAlignment="1" applyProtection="1">
      <alignment horizontal="center"/>
    </xf>
    <xf numFmtId="2" fontId="0" fillId="3" borderId="66" xfId="0" applyNumberFormat="1" applyFill="1" applyBorder="1" applyAlignment="1" applyProtection="1">
      <alignment horizontal="center"/>
    </xf>
    <xf numFmtId="2" fontId="0" fillId="5" borderId="5" xfId="0" applyNumberFormat="1" applyFill="1" applyBorder="1" applyProtection="1"/>
    <xf numFmtId="9" fontId="14" fillId="10" borderId="36" xfId="3" applyNumberFormat="1" applyBorder="1" applyProtection="1"/>
    <xf numFmtId="2" fontId="14" fillId="10" borderId="36" xfId="3" applyNumberFormat="1" applyBorder="1" applyProtection="1"/>
    <xf numFmtId="2" fontId="14" fillId="10" borderId="39" xfId="3" applyNumberFormat="1" applyBorder="1" applyProtection="1"/>
    <xf numFmtId="164" fontId="15" fillId="10" borderId="35" xfId="4" applyNumberFormat="1" applyBorder="1" applyProtection="1"/>
    <xf numFmtId="164" fontId="0" fillId="5" borderId="9" xfId="0" applyNumberFormat="1" applyFill="1" applyBorder="1" applyProtection="1"/>
    <xf numFmtId="164" fontId="0" fillId="5" borderId="0" xfId="0" applyNumberFormat="1" applyFill="1" applyBorder="1" applyProtection="1"/>
    <xf numFmtId="0" fontId="0" fillId="5" borderId="14" xfId="0" applyFill="1" applyBorder="1" applyProtection="1"/>
    <xf numFmtId="0" fontId="0" fillId="5" borderId="7" xfId="0" applyFill="1" applyBorder="1" applyProtection="1"/>
    <xf numFmtId="0" fontId="0" fillId="0" borderId="7" xfId="0" applyBorder="1" applyProtection="1"/>
    <xf numFmtId="164" fontId="15" fillId="10" borderId="40" xfId="4" applyNumberFormat="1" applyBorder="1" applyProtection="1"/>
    <xf numFmtId="164" fontId="0" fillId="5" borderId="15" xfId="0" applyNumberFormat="1" applyFill="1" applyBorder="1" applyProtection="1"/>
    <xf numFmtId="164" fontId="0" fillId="5" borderId="7" xfId="0" applyNumberFormat="1" applyFill="1" applyBorder="1" applyProtection="1"/>
    <xf numFmtId="0" fontId="0" fillId="5" borderId="16" xfId="0" applyFill="1" applyBorder="1" applyProtection="1"/>
    <xf numFmtId="0" fontId="1" fillId="2" borderId="1" xfId="0" applyFont="1" applyFill="1" applyBorder="1" applyAlignment="1" applyProtection="1">
      <alignment horizontal="center"/>
    </xf>
    <xf numFmtId="0" fontId="1" fillId="2" borderId="2" xfId="0" applyFont="1" applyFill="1" applyBorder="1" applyAlignment="1" applyProtection="1">
      <alignment horizontal="center"/>
    </xf>
    <xf numFmtId="0" fontId="1" fillId="2" borderId="3" xfId="0" applyFont="1" applyFill="1" applyBorder="1" applyAlignment="1" applyProtection="1">
      <alignment horizontal="center"/>
    </xf>
    <xf numFmtId="0" fontId="0" fillId="3" borderId="9" xfId="0" applyFill="1" applyBorder="1" applyAlignment="1" applyProtection="1">
      <alignment horizontal="center"/>
    </xf>
    <xf numFmtId="0" fontId="0" fillId="0" borderId="9" xfId="0" applyFill="1" applyBorder="1" applyAlignment="1" applyProtection="1">
      <alignment horizontal="center"/>
    </xf>
    <xf numFmtId="164" fontId="0" fillId="0" borderId="9" xfId="0" quotePrefix="1" applyNumberFormat="1" applyBorder="1" applyProtection="1"/>
    <xf numFmtId="0" fontId="0" fillId="0" borderId="9" xfId="0" quotePrefix="1" applyBorder="1" applyProtection="1"/>
    <xf numFmtId="0" fontId="3" fillId="4" borderId="33" xfId="0" applyFont="1" applyFill="1" applyBorder="1" applyAlignment="1" applyProtection="1">
      <alignment horizontal="center"/>
    </xf>
    <xf numFmtId="0" fontId="3" fillId="4" borderId="27" xfId="0" applyFont="1" applyFill="1" applyBorder="1" applyAlignment="1" applyProtection="1">
      <alignment horizontal="center"/>
    </xf>
    <xf numFmtId="0" fontId="3" fillId="4" borderId="28" xfId="0" applyFont="1" applyFill="1" applyBorder="1" applyAlignment="1" applyProtection="1">
      <alignment horizontal="center"/>
    </xf>
    <xf numFmtId="0" fontId="0" fillId="0" borderId="0" xfId="0" applyFill="1" applyBorder="1" applyAlignment="1" applyProtection="1">
      <alignment horizontal="center"/>
    </xf>
    <xf numFmtId="0" fontId="0" fillId="0" borderId="23" xfId="0" applyFill="1" applyBorder="1" applyAlignment="1" applyProtection="1">
      <alignment horizontal="center"/>
    </xf>
    <xf numFmtId="0" fontId="0" fillId="0" borderId="29" xfId="0" applyFill="1" applyBorder="1" applyAlignment="1" applyProtection="1">
      <alignment horizontal="center"/>
    </xf>
    <xf numFmtId="0" fontId="0" fillId="0" borderId="13" xfId="0" applyBorder="1" applyProtection="1"/>
    <xf numFmtId="0" fontId="0" fillId="0" borderId="0" xfId="0" applyBorder="1" applyAlignment="1" applyProtection="1">
      <alignment horizontal="left"/>
    </xf>
    <xf numFmtId="9" fontId="14" fillId="10" borderId="10" xfId="1" applyFont="1" applyFill="1" applyBorder="1" applyAlignment="1" applyProtection="1">
      <alignment horizontal="left"/>
    </xf>
    <xf numFmtId="9" fontId="0" fillId="0" borderId="57" xfId="1" applyFont="1" applyBorder="1" applyAlignment="1" applyProtection="1">
      <alignment horizontal="left"/>
    </xf>
    <xf numFmtId="9" fontId="0" fillId="0" borderId="17" xfId="1" applyFont="1" applyBorder="1" applyAlignment="1" applyProtection="1">
      <alignment horizontal="left"/>
    </xf>
    <xf numFmtId="9" fontId="14" fillId="10" borderId="27" xfId="1" applyFont="1" applyFill="1" applyBorder="1" applyAlignment="1" applyProtection="1">
      <alignment horizontal="left"/>
    </xf>
    <xf numFmtId="9" fontId="14" fillId="10" borderId="11" xfId="1" applyFont="1" applyFill="1" applyBorder="1" applyAlignment="1" applyProtection="1">
      <alignment horizontal="left"/>
    </xf>
    <xf numFmtId="9" fontId="14" fillId="10" borderId="9" xfId="1" applyFont="1" applyFill="1" applyBorder="1" applyAlignment="1" applyProtection="1">
      <alignment horizontal="left"/>
    </xf>
    <xf numFmtId="9" fontId="0" fillId="0" borderId="0" xfId="1" applyFont="1" applyBorder="1" applyAlignment="1" applyProtection="1">
      <alignment horizontal="left"/>
    </xf>
    <xf numFmtId="0" fontId="0" fillId="0" borderId="52" xfId="0" applyBorder="1" applyAlignment="1" applyProtection="1">
      <alignment horizontal="left"/>
    </xf>
    <xf numFmtId="9" fontId="0" fillId="0" borderId="34" xfId="1" applyFont="1" applyBorder="1" applyAlignment="1" applyProtection="1">
      <alignment horizontal="left"/>
    </xf>
    <xf numFmtId="9" fontId="0" fillId="0" borderId="0" xfId="0" applyNumberFormat="1" applyBorder="1" applyAlignment="1" applyProtection="1">
      <alignment horizontal="left"/>
    </xf>
    <xf numFmtId="0" fontId="0" fillId="0" borderId="4" xfId="0" applyFill="1" applyBorder="1" applyProtection="1"/>
    <xf numFmtId="0" fontId="0" fillId="0" borderId="24" xfId="0" applyFill="1" applyBorder="1" applyAlignment="1" applyProtection="1">
      <alignment horizontal="center"/>
    </xf>
    <xf numFmtId="10" fontId="14" fillId="10" borderId="67" xfId="1" applyNumberFormat="1" applyFont="1" applyFill="1" applyBorder="1" applyAlignment="1" applyProtection="1">
      <alignment horizontal="left"/>
    </xf>
    <xf numFmtId="10" fontId="0" fillId="0" borderId="0" xfId="1" applyNumberFormat="1" applyFont="1" applyBorder="1" applyAlignment="1" applyProtection="1">
      <alignment horizontal="left"/>
    </xf>
    <xf numFmtId="10" fontId="14" fillId="10" borderId="69" xfId="1" applyNumberFormat="1" applyFont="1" applyFill="1" applyBorder="1" applyAlignment="1" applyProtection="1">
      <alignment horizontal="left"/>
    </xf>
    <xf numFmtId="10" fontId="14" fillId="10" borderId="36" xfId="1" applyNumberFormat="1" applyFont="1" applyFill="1" applyBorder="1" applyAlignment="1" applyProtection="1">
      <alignment horizontal="left"/>
    </xf>
    <xf numFmtId="10" fontId="14" fillId="10" borderId="101" xfId="1" applyNumberFormat="1" applyFont="1" applyFill="1" applyBorder="1" applyAlignment="1" applyProtection="1">
      <alignment horizontal="left"/>
    </xf>
    <xf numFmtId="0" fontId="0" fillId="0" borderId="21" xfId="0" applyBorder="1" applyProtection="1"/>
    <xf numFmtId="10" fontId="14" fillId="10" borderId="100" xfId="1" applyNumberFormat="1" applyFont="1" applyFill="1" applyBorder="1" applyAlignment="1" applyProtection="1">
      <alignment horizontal="left"/>
    </xf>
    <xf numFmtId="10" fontId="0" fillId="0" borderId="0" xfId="1" applyNumberFormat="1" applyFont="1" applyBorder="1" applyProtection="1"/>
    <xf numFmtId="10" fontId="14" fillId="10" borderId="9" xfId="1" applyNumberFormat="1" applyFont="1" applyFill="1" applyBorder="1" applyAlignment="1" applyProtection="1">
      <alignment horizontal="left"/>
    </xf>
    <xf numFmtId="166" fontId="14" fillId="0" borderId="0" xfId="3" applyNumberFormat="1" applyFill="1" applyBorder="1" applyAlignment="1" applyProtection="1">
      <alignment horizontal="left"/>
    </xf>
    <xf numFmtId="0" fontId="0" fillId="0" borderId="0" xfId="0" applyFill="1" applyBorder="1" applyProtection="1"/>
    <xf numFmtId="9" fontId="14" fillId="0" borderId="0" xfId="3" applyNumberFormat="1" applyFill="1" applyBorder="1" applyAlignment="1" applyProtection="1">
      <alignment horizontal="left"/>
    </xf>
    <xf numFmtId="167" fontId="14" fillId="0" borderId="9" xfId="1" applyNumberFormat="1" applyFont="1" applyFill="1" applyBorder="1" applyAlignment="1" applyProtection="1">
      <alignment horizontal="center"/>
    </xf>
    <xf numFmtId="167" fontId="0" fillId="0" borderId="0" xfId="0" applyNumberFormat="1" applyFill="1" applyBorder="1" applyAlignment="1" applyProtection="1">
      <alignment horizontal="center"/>
    </xf>
    <xf numFmtId="0" fontId="0" fillId="0" borderId="6" xfId="0" applyBorder="1" applyProtection="1"/>
    <xf numFmtId="166" fontId="14" fillId="0" borderId="7" xfId="3" applyNumberFormat="1" applyFill="1" applyBorder="1" applyAlignment="1" applyProtection="1">
      <alignment horizontal="left"/>
    </xf>
    <xf numFmtId="0" fontId="0" fillId="0" borderId="7" xfId="0" applyFill="1" applyBorder="1" applyProtection="1"/>
    <xf numFmtId="9" fontId="14" fillId="0" borderId="7" xfId="3" applyNumberFormat="1" applyFill="1" applyBorder="1" applyAlignment="1" applyProtection="1">
      <alignment horizontal="left"/>
    </xf>
    <xf numFmtId="0" fontId="0" fillId="0" borderId="8" xfId="0" applyBorder="1" applyProtection="1"/>
    <xf numFmtId="0" fontId="0" fillId="0" borderId="0" xfId="0" applyFill="1" applyProtection="1"/>
    <xf numFmtId="0" fontId="0" fillId="0" borderId="9" xfId="0" applyFill="1" applyBorder="1" applyAlignment="1" applyProtection="1">
      <alignment horizontal="center"/>
    </xf>
    <xf numFmtId="0" fontId="0" fillId="0" borderId="29" xfId="0" applyFill="1" applyBorder="1" applyAlignment="1" applyProtection="1">
      <alignment horizontal="center"/>
    </xf>
    <xf numFmtId="0" fontId="0" fillId="0" borderId="24" xfId="0" applyFill="1" applyBorder="1" applyAlignment="1" applyProtection="1">
      <alignment horizontal="center"/>
    </xf>
    <xf numFmtId="164" fontId="0" fillId="0" borderId="9" xfId="0" applyNumberFormat="1" applyBorder="1" applyProtection="1"/>
    <xf numFmtId="0" fontId="0" fillId="0" borderId="23" xfId="0" applyFill="1" applyBorder="1" applyAlignment="1" applyProtection="1">
      <alignment horizontal="center"/>
    </xf>
    <xf numFmtId="0" fontId="0" fillId="4" borderId="33" xfId="0" applyFill="1" applyBorder="1" applyAlignment="1" applyProtection="1">
      <alignment horizontal="center"/>
    </xf>
    <xf numFmtId="0" fontId="0" fillId="4" borderId="27" xfId="0" applyFill="1" applyBorder="1" applyAlignment="1" applyProtection="1">
      <alignment horizontal="center"/>
    </xf>
    <xf numFmtId="0" fontId="0" fillId="4" borderId="28" xfId="0" applyFill="1" applyBorder="1" applyAlignment="1" applyProtection="1">
      <alignment horizontal="center"/>
    </xf>
    <xf numFmtId="10" fontId="14" fillId="10" borderId="29" xfId="1" applyNumberFormat="1" applyFont="1" applyFill="1" applyBorder="1" applyAlignment="1" applyProtection="1">
      <alignment horizontal="left"/>
    </xf>
    <xf numFmtId="0" fontId="0" fillId="0" borderId="0" xfId="0" applyFill="1" applyBorder="1" applyAlignment="1" applyProtection="1">
      <alignment horizontal="left"/>
    </xf>
    <xf numFmtId="167" fontId="14" fillId="0" borderId="9" xfId="3" applyNumberFormat="1" applyFill="1" applyBorder="1" applyAlignment="1" applyProtection="1">
      <alignment horizontal="left"/>
    </xf>
    <xf numFmtId="167" fontId="0" fillId="0" borderId="0" xfId="0" applyNumberFormat="1" applyFill="1" applyBorder="1" applyProtection="1"/>
    <xf numFmtId="0" fontId="0" fillId="3" borderId="10" xfId="0" applyFill="1" applyBorder="1" applyAlignment="1" applyProtection="1">
      <alignment horizontal="center"/>
    </xf>
    <xf numFmtId="0" fontId="0" fillId="3" borderId="27" xfId="0" applyFill="1" applyBorder="1" applyAlignment="1" applyProtection="1">
      <alignment horizontal="center"/>
    </xf>
    <xf numFmtId="0" fontId="0" fillId="3" borderId="11" xfId="0" applyFill="1" applyBorder="1" applyAlignment="1" applyProtection="1">
      <alignment horizontal="center"/>
    </xf>
    <xf numFmtId="0" fontId="4" fillId="0" borderId="9" xfId="0" applyFont="1" applyBorder="1" applyProtection="1"/>
    <xf numFmtId="2" fontId="0" fillId="0" borderId="9" xfId="0" applyNumberFormat="1" applyBorder="1" applyProtection="1"/>
    <xf numFmtId="2" fontId="0" fillId="0" borderId="10" xfId="0" applyNumberFormat="1" applyBorder="1" applyAlignment="1" applyProtection="1">
      <alignment horizontal="center"/>
    </xf>
    <xf numFmtId="2" fontId="0" fillId="0" borderId="11" xfId="0" applyNumberFormat="1" applyBorder="1" applyAlignment="1" applyProtection="1">
      <alignment horizontal="center"/>
    </xf>
    <xf numFmtId="0" fontId="0" fillId="4" borderId="4" xfId="0" applyFill="1" applyBorder="1" applyAlignment="1" applyProtection="1">
      <alignment horizontal="center"/>
    </xf>
    <xf numFmtId="0" fontId="0" fillId="4" borderId="0" xfId="0" applyFill="1" applyBorder="1" applyAlignment="1" applyProtection="1">
      <alignment horizontal="center"/>
    </xf>
    <xf numFmtId="0" fontId="0" fillId="4" borderId="5" xfId="0" applyFill="1" applyBorder="1" applyAlignment="1" applyProtection="1">
      <alignment horizontal="center"/>
    </xf>
    <xf numFmtId="165" fontId="14" fillId="0" borderId="9" xfId="1" applyNumberFormat="1" applyFont="1" applyFill="1" applyBorder="1" applyAlignment="1" applyProtection="1">
      <alignment horizontal="center"/>
    </xf>
    <xf numFmtId="165" fontId="0" fillId="0" borderId="0" xfId="1" applyNumberFormat="1" applyFont="1" applyFill="1" applyBorder="1" applyAlignment="1" applyProtection="1">
      <alignment horizontal="center"/>
    </xf>
    <xf numFmtId="0" fontId="0" fillId="0" borderId="0" xfId="0" quotePrefix="1" applyBorder="1" applyProtection="1"/>
    <xf numFmtId="0" fontId="0" fillId="0" borderId="5" xfId="0" applyFill="1" applyBorder="1" applyProtection="1"/>
    <xf numFmtId="9" fontId="14" fillId="0" borderId="9" xfId="1" applyFont="1" applyFill="1" applyBorder="1" applyAlignment="1" applyProtection="1">
      <alignment horizontal="center"/>
    </xf>
    <xf numFmtId="9" fontId="0" fillId="0" borderId="0" xfId="1" applyFont="1" applyFill="1" applyBorder="1" applyAlignment="1" applyProtection="1">
      <alignment horizontal="center"/>
    </xf>
    <xf numFmtId="0" fontId="0" fillId="0" borderId="7" xfId="0" applyBorder="1" applyAlignment="1" applyProtection="1">
      <alignment horizontal="left"/>
    </xf>
    <xf numFmtId="0" fontId="0" fillId="0" borderId="7" xfId="0" applyFill="1" applyBorder="1" applyAlignment="1" applyProtection="1">
      <alignment horizontal="left"/>
    </xf>
    <xf numFmtId="0" fontId="0" fillId="0" borderId="49" xfId="0" applyBorder="1" applyProtection="1"/>
    <xf numFmtId="0" fontId="7" fillId="0" borderId="50" xfId="0" applyFont="1" applyBorder="1" applyProtection="1"/>
    <xf numFmtId="0" fontId="7" fillId="0" borderId="51" xfId="0" applyFont="1" applyBorder="1" applyProtection="1"/>
    <xf numFmtId="0" fontId="7" fillId="0" borderId="46" xfId="0" applyFont="1" applyBorder="1" applyProtection="1"/>
    <xf numFmtId="0" fontId="0" fillId="0" borderId="0" xfId="0" applyAlignment="1" applyProtection="1">
      <alignment horizontal="left"/>
    </xf>
    <xf numFmtId="0" fontId="7" fillId="5" borderId="0" xfId="0" applyFont="1" applyFill="1" applyAlignment="1" applyProtection="1">
      <alignment horizontal="center"/>
    </xf>
    <xf numFmtId="0" fontId="3" fillId="5" borderId="0" xfId="0" applyFont="1" applyFill="1" applyAlignment="1" applyProtection="1">
      <alignment horizontal="left"/>
    </xf>
    <xf numFmtId="0" fontId="3" fillId="5" borderId="0" xfId="0" applyFont="1" applyFill="1" applyProtection="1"/>
    <xf numFmtId="0" fontId="6" fillId="13" borderId="1" xfId="0" applyFont="1" applyFill="1" applyBorder="1" applyAlignment="1" applyProtection="1">
      <alignment horizontal="center" vertical="center"/>
    </xf>
    <xf numFmtId="0" fontId="6" fillId="13" borderId="2" xfId="0" applyFont="1" applyFill="1" applyBorder="1" applyAlignment="1" applyProtection="1">
      <alignment horizontal="center" vertical="center"/>
    </xf>
    <xf numFmtId="0" fontId="6" fillId="13" borderId="3" xfId="0" applyFont="1" applyFill="1" applyBorder="1" applyAlignment="1" applyProtection="1">
      <alignment horizontal="center" vertical="center"/>
    </xf>
    <xf numFmtId="0" fontId="0" fillId="0" borderId="0" xfId="0" applyAlignment="1" applyProtection="1"/>
    <xf numFmtId="0" fontId="17" fillId="0" borderId="18" xfId="0" applyFont="1" applyFill="1" applyBorder="1" applyAlignment="1" applyProtection="1">
      <alignment horizontal="left"/>
    </xf>
    <xf numFmtId="165" fontId="0" fillId="0" borderId="0" xfId="1" applyNumberFormat="1" applyFont="1" applyAlignment="1" applyProtection="1">
      <alignment horizontal="center"/>
    </xf>
    <xf numFmtId="0" fontId="6" fillId="0" borderId="52" xfId="0" applyFont="1" applyFill="1" applyBorder="1" applyAlignment="1" applyProtection="1">
      <alignment horizontal="center"/>
    </xf>
    <xf numFmtId="0" fontId="6" fillId="0" borderId="26" xfId="0" applyFont="1" applyFill="1" applyBorder="1" applyAlignment="1" applyProtection="1">
      <alignment horizontal="center"/>
    </xf>
    <xf numFmtId="0" fontId="0" fillId="3" borderId="13" xfId="0" applyFill="1" applyBorder="1" applyAlignment="1" applyProtection="1">
      <alignment horizontal="left"/>
    </xf>
    <xf numFmtId="0" fontId="0" fillId="3" borderId="9" xfId="0" applyFill="1" applyBorder="1" applyProtection="1"/>
    <xf numFmtId="0" fontId="0" fillId="3" borderId="12" xfId="0" applyFill="1" applyBorder="1" applyProtection="1"/>
    <xf numFmtId="0" fontId="24" fillId="0" borderId="13" xfId="10" applyFont="1" applyBorder="1" applyProtection="1"/>
    <xf numFmtId="0" fontId="33" fillId="17" borderId="12" xfId="12" applyBorder="1" applyProtection="1"/>
    <xf numFmtId="9" fontId="0" fillId="0" borderId="9" xfId="1" applyFont="1" applyBorder="1" applyProtection="1"/>
    <xf numFmtId="0" fontId="0" fillId="3" borderId="13" xfId="0" applyFill="1" applyBorder="1" applyAlignment="1" applyProtection="1">
      <alignment horizontal="left" vertical="center" wrapText="1"/>
    </xf>
    <xf numFmtId="0" fontId="0" fillId="3" borderId="9" xfId="0" applyFill="1" applyBorder="1" applyAlignment="1" applyProtection="1">
      <alignment horizontal="center" vertical="center"/>
    </xf>
    <xf numFmtId="0" fontId="24" fillId="0" borderId="46" xfId="10" applyFont="1" applyBorder="1" applyProtection="1"/>
    <xf numFmtId="0" fontId="0" fillId="0" borderId="47" xfId="0" applyFill="1" applyBorder="1" applyProtection="1"/>
    <xf numFmtId="0" fontId="34" fillId="18" borderId="48" xfId="13" applyBorder="1" applyProtection="1"/>
    <xf numFmtId="0" fontId="19" fillId="0" borderId="52" xfId="0" applyFont="1" applyFill="1" applyBorder="1" applyAlignment="1" applyProtection="1">
      <alignment horizontal="center"/>
    </xf>
    <xf numFmtId="0" fontId="0" fillId="3" borderId="9" xfId="0" applyFill="1" applyBorder="1" applyAlignment="1" applyProtection="1">
      <alignment horizontal="center"/>
    </xf>
    <xf numFmtId="2" fontId="15" fillId="10" borderId="35" xfId="4" applyNumberFormat="1" applyAlignment="1" applyProtection="1">
      <alignment horizontal="center"/>
    </xf>
    <xf numFmtId="0" fontId="3" fillId="5" borderId="33" xfId="0" applyFont="1" applyFill="1" applyBorder="1" applyAlignment="1" applyProtection="1">
      <alignment horizontal="left" vertical="center"/>
    </xf>
    <xf numFmtId="0" fontId="3" fillId="5" borderId="11" xfId="0" applyFont="1" applyFill="1" applyBorder="1" applyAlignment="1" applyProtection="1">
      <alignment horizontal="left" vertical="center"/>
    </xf>
    <xf numFmtId="0" fontId="0" fillId="5" borderId="9" xfId="0" applyFont="1" applyFill="1" applyBorder="1" applyAlignment="1" applyProtection="1">
      <alignment horizontal="center" wrapText="1"/>
    </xf>
    <xf numFmtId="0" fontId="0" fillId="5" borderId="12" xfId="0" applyFill="1" applyBorder="1" applyAlignment="1" applyProtection="1">
      <alignment horizontal="center" vertical="center"/>
    </xf>
    <xf numFmtId="0" fontId="0" fillId="3" borderId="46" xfId="0" applyFill="1" applyBorder="1" applyAlignment="1" applyProtection="1">
      <alignment horizontal="left"/>
    </xf>
    <xf numFmtId="172" fontId="0" fillId="3" borderId="47" xfId="0" applyNumberFormat="1" applyFill="1" applyBorder="1" applyAlignment="1" applyProtection="1">
      <alignment horizontal="center"/>
    </xf>
    <xf numFmtId="0" fontId="0" fillId="3" borderId="48" xfId="0" applyFill="1" applyBorder="1" applyProtection="1"/>
    <xf numFmtId="0" fontId="3" fillId="5" borderId="22" xfId="0" applyFont="1" applyFill="1" applyBorder="1" applyProtection="1"/>
    <xf numFmtId="0" fontId="0" fillId="5" borderId="23" xfId="0" applyFill="1" applyBorder="1" applyProtection="1"/>
    <xf numFmtId="0" fontId="0" fillId="5" borderId="25" xfId="0" applyFill="1" applyBorder="1" applyProtection="1"/>
    <xf numFmtId="0" fontId="0" fillId="5" borderId="54" xfId="0" applyFill="1" applyBorder="1" applyProtection="1"/>
    <xf numFmtId="0" fontId="3" fillId="5" borderId="33" xfId="0" applyFont="1" applyFill="1" applyBorder="1" applyAlignment="1" applyProtection="1">
      <alignment horizontal="left"/>
    </xf>
    <xf numFmtId="0" fontId="3" fillId="5" borderId="27" xfId="0" applyFont="1" applyFill="1" applyBorder="1" applyAlignment="1" applyProtection="1">
      <alignment horizontal="left"/>
    </xf>
    <xf numFmtId="0" fontId="3" fillId="5" borderId="28" xfId="0" applyFont="1" applyFill="1" applyBorder="1" applyAlignment="1" applyProtection="1">
      <alignment horizontal="left"/>
    </xf>
    <xf numFmtId="0" fontId="0" fillId="5" borderId="29" xfId="0" applyFill="1" applyBorder="1" applyProtection="1"/>
    <xf numFmtId="0" fontId="3" fillId="5" borderId="14" xfId="0" applyFont="1" applyFill="1" applyBorder="1" applyProtection="1"/>
    <xf numFmtId="0" fontId="0" fillId="5" borderId="47" xfId="0" applyFill="1" applyBorder="1" applyProtection="1"/>
    <xf numFmtId="0" fontId="0" fillId="5" borderId="48" xfId="0" applyFill="1" applyBorder="1" applyProtection="1"/>
    <xf numFmtId="0" fontId="3" fillId="0" borderId="0" xfId="0" applyFont="1" applyProtection="1"/>
    <xf numFmtId="0" fontId="1" fillId="6" borderId="1" xfId="0" applyFont="1" applyFill="1" applyBorder="1" applyAlignment="1" applyProtection="1">
      <alignment horizontal="center"/>
    </xf>
    <xf numFmtId="0" fontId="1" fillId="6" borderId="2" xfId="0" applyFont="1" applyFill="1" applyBorder="1" applyAlignment="1" applyProtection="1">
      <alignment horizontal="center"/>
    </xf>
    <xf numFmtId="0" fontId="1" fillId="6" borderId="3" xfId="0" applyFont="1" applyFill="1" applyBorder="1" applyAlignment="1" applyProtection="1">
      <alignment horizontal="center"/>
    </xf>
    <xf numFmtId="0" fontId="3" fillId="3" borderId="10" xfId="0" applyFont="1" applyFill="1" applyBorder="1" applyAlignment="1" applyProtection="1">
      <alignment horizontal="center"/>
    </xf>
    <xf numFmtId="0" fontId="3" fillId="3" borderId="11" xfId="0" applyFont="1" applyFill="1" applyBorder="1" applyAlignment="1" applyProtection="1">
      <alignment horizontal="center"/>
    </xf>
    <xf numFmtId="0" fontId="3" fillId="8" borderId="10" xfId="0" applyFont="1" applyFill="1" applyBorder="1" applyAlignment="1" applyProtection="1">
      <alignment horizontal="center"/>
    </xf>
    <xf numFmtId="0" fontId="3" fillId="8" borderId="11" xfId="0" applyFont="1" applyFill="1" applyBorder="1" applyAlignment="1" applyProtection="1">
      <alignment horizontal="center"/>
    </xf>
    <xf numFmtId="0" fontId="3" fillId="12" borderId="10" xfId="0" applyFont="1" applyFill="1" applyBorder="1" applyAlignment="1" applyProtection="1">
      <alignment horizontal="center"/>
    </xf>
    <xf numFmtId="0" fontId="3" fillId="12" borderId="28" xfId="0" applyFont="1" applyFill="1" applyBorder="1" applyAlignment="1" applyProtection="1">
      <alignment horizontal="center"/>
    </xf>
    <xf numFmtId="0" fontId="0" fillId="0" borderId="28" xfId="0" applyBorder="1" applyProtection="1"/>
    <xf numFmtId="0" fontId="0" fillId="0" borderId="9" xfId="0" applyBorder="1" applyAlignment="1" applyProtection="1">
      <alignment vertical="center" wrapText="1"/>
    </xf>
    <xf numFmtId="0" fontId="0" fillId="0" borderId="9" xfId="0" applyBorder="1" applyAlignment="1" applyProtection="1">
      <alignment horizontal="center"/>
    </xf>
    <xf numFmtId="0" fontId="0" fillId="0" borderId="9" xfId="0" applyBorder="1" applyAlignment="1" applyProtection="1">
      <alignment wrapText="1"/>
    </xf>
    <xf numFmtId="0" fontId="0" fillId="0" borderId="29" xfId="0" applyBorder="1" applyAlignment="1" applyProtection="1">
      <alignment wrapText="1"/>
    </xf>
    <xf numFmtId="0" fontId="0" fillId="0" borderId="54" xfId="0" applyBorder="1" applyProtection="1"/>
    <xf numFmtId="0" fontId="3" fillId="0" borderId="4" xfId="0" applyFont="1" applyBorder="1" applyProtection="1"/>
    <xf numFmtId="0" fontId="0" fillId="0" borderId="9" xfId="0" applyBorder="1" applyAlignment="1" applyProtection="1">
      <alignment horizontal="right"/>
    </xf>
    <xf numFmtId="0" fontId="0" fillId="0" borderId="12" xfId="0" applyBorder="1" applyProtection="1"/>
    <xf numFmtId="2" fontId="0" fillId="0" borderId="9" xfId="0" applyNumberFormat="1" applyBorder="1" applyAlignment="1" applyProtection="1">
      <alignment horizontal="right"/>
    </xf>
    <xf numFmtId="0" fontId="3" fillId="0" borderId="0" xfId="0" applyFont="1" applyBorder="1" applyAlignment="1" applyProtection="1"/>
    <xf numFmtId="2" fontId="3" fillId="0" borderId="0" xfId="0" applyNumberFormat="1" applyFont="1" applyBorder="1" applyAlignment="1" applyProtection="1"/>
    <xf numFmtId="0" fontId="3" fillId="0" borderId="5" xfId="0" applyFont="1" applyBorder="1" applyAlignment="1" applyProtection="1"/>
    <xf numFmtId="2" fontId="0" fillId="0" borderId="27" xfId="0" applyNumberFormat="1" applyBorder="1" applyProtection="1"/>
    <xf numFmtId="2" fontId="15" fillId="10" borderId="88" xfId="4" applyNumberFormat="1" applyBorder="1" applyProtection="1"/>
    <xf numFmtId="0" fontId="0" fillId="0" borderId="23" xfId="0" applyBorder="1" applyAlignment="1" applyProtection="1">
      <alignment horizontal="right"/>
    </xf>
    <xf numFmtId="0" fontId="0" fillId="0" borderId="19" xfId="0" applyBorder="1" applyProtection="1"/>
    <xf numFmtId="0" fontId="0" fillId="0" borderId="29" xfId="0" applyBorder="1" applyAlignment="1" applyProtection="1">
      <alignment horizontal="right"/>
    </xf>
    <xf numFmtId="0" fontId="0" fillId="0" borderId="70" xfId="0" applyBorder="1" applyProtection="1"/>
    <xf numFmtId="0" fontId="7" fillId="0" borderId="86" xfId="0" applyFont="1" applyBorder="1" applyAlignment="1" applyProtection="1">
      <alignment horizontal="left" vertical="center"/>
    </xf>
    <xf numFmtId="0" fontId="0" fillId="0" borderId="74" xfId="0" applyBorder="1" applyProtection="1"/>
    <xf numFmtId="2" fontId="14" fillId="10" borderId="69" xfId="3" applyNumberFormat="1" applyBorder="1" applyProtection="1"/>
    <xf numFmtId="0" fontId="7" fillId="0" borderId="52" xfId="0" applyFont="1" applyBorder="1" applyProtection="1"/>
    <xf numFmtId="2" fontId="14" fillId="10" borderId="69" xfId="3" applyNumberFormat="1" applyBorder="1" applyAlignment="1" applyProtection="1">
      <alignment horizontal="right"/>
    </xf>
    <xf numFmtId="0" fontId="7" fillId="0" borderId="12" xfId="0" applyFont="1" applyBorder="1" applyProtection="1"/>
    <xf numFmtId="0" fontId="7" fillId="0" borderId="6" xfId="0" applyFont="1" applyBorder="1" applyAlignment="1" applyProtection="1">
      <alignment horizontal="left" vertical="center"/>
    </xf>
    <xf numFmtId="0" fontId="0" fillId="0" borderId="94" xfId="0" applyBorder="1" applyProtection="1"/>
    <xf numFmtId="11" fontId="14" fillId="10" borderId="55" xfId="3" applyNumberFormat="1" applyBorder="1" applyAlignment="1" applyProtection="1">
      <alignment horizontal="right"/>
    </xf>
    <xf numFmtId="0" fontId="7" fillId="0" borderId="102" xfId="0" applyFont="1" applyBorder="1" applyProtection="1"/>
    <xf numFmtId="0" fontId="0" fillId="0" borderId="15" xfId="0" applyBorder="1" applyProtection="1"/>
    <xf numFmtId="0" fontId="7" fillId="0" borderId="48" xfId="0" applyFont="1" applyBorder="1" applyProtection="1"/>
    <xf numFmtId="0" fontId="7" fillId="0" borderId="103" xfId="0" applyFont="1" applyFill="1" applyBorder="1" applyAlignment="1" applyProtection="1">
      <alignment horizontal="left" vertical="center"/>
    </xf>
    <xf numFmtId="2" fontId="15" fillId="10" borderId="35" xfId="4" applyNumberFormat="1" applyFont="1" applyAlignment="1" applyProtection="1">
      <alignment horizontal="center" vertical="center"/>
    </xf>
    <xf numFmtId="0" fontId="3" fillId="0" borderId="3" xfId="0" applyFont="1" applyBorder="1" applyAlignment="1" applyProtection="1">
      <alignment vertical="center"/>
    </xf>
    <xf numFmtId="0" fontId="3" fillId="0" borderId="12" xfId="0" applyFont="1" applyBorder="1" applyAlignment="1" applyProtection="1">
      <alignment vertical="center"/>
    </xf>
    <xf numFmtId="0" fontId="3" fillId="0" borderId="18" xfId="0" applyFont="1" applyBorder="1" applyProtection="1"/>
    <xf numFmtId="0" fontId="3" fillId="0" borderId="46" xfId="0" applyFont="1" applyBorder="1" applyProtection="1"/>
    <xf numFmtId="9" fontId="3" fillId="0" borderId="7" xfId="1" applyFont="1" applyBorder="1" applyAlignment="1" applyProtection="1">
      <alignment horizontal="center"/>
    </xf>
    <xf numFmtId="0" fontId="3" fillId="0" borderId="48" xfId="0" applyFont="1" applyBorder="1" applyAlignment="1" applyProtection="1">
      <alignment vertical="center"/>
    </xf>
    <xf numFmtId="0" fontId="0" fillId="0" borderId="0" xfId="0" applyAlignment="1" applyProtection="1">
      <alignment vertical="center"/>
    </xf>
    <xf numFmtId="0" fontId="3" fillId="5" borderId="27" xfId="0" applyFont="1" applyFill="1" applyBorder="1" applyAlignment="1" applyProtection="1">
      <alignment horizontal="left"/>
      <protection locked="0"/>
    </xf>
    <xf numFmtId="0" fontId="0" fillId="0" borderId="0" xfId="0" applyProtection="1"/>
    <xf numFmtId="0" fontId="7" fillId="5" borderId="0" xfId="0" applyFont="1" applyFill="1" applyAlignment="1" applyProtection="1">
      <alignment horizontal="center" vertical="center"/>
    </xf>
    <xf numFmtId="0" fontId="0" fillId="5" borderId="1" xfId="0" applyFill="1" applyBorder="1" applyProtection="1"/>
    <xf numFmtId="0" fontId="0" fillId="5" borderId="2" xfId="0" applyFill="1" applyBorder="1" applyProtection="1"/>
    <xf numFmtId="0" fontId="12" fillId="15" borderId="2" xfId="0" applyFont="1" applyFill="1" applyBorder="1" applyAlignment="1" applyProtection="1">
      <alignment horizontal="center" vertical="center"/>
    </xf>
    <xf numFmtId="0" fontId="0" fillId="5" borderId="3" xfId="0" applyFill="1" applyBorder="1" applyProtection="1"/>
    <xf numFmtId="0" fontId="12" fillId="3" borderId="2"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3" fillId="5" borderId="19" xfId="0" applyFont="1" applyFill="1" applyBorder="1" applyAlignment="1" applyProtection="1">
      <alignment horizontal="left"/>
    </xf>
    <xf numFmtId="0" fontId="3" fillId="5" borderId="20" xfId="0" applyFont="1" applyFill="1" applyBorder="1" applyAlignment="1" applyProtection="1">
      <alignment horizontal="left"/>
    </xf>
    <xf numFmtId="2" fontId="0" fillId="5" borderId="26" xfId="0" applyNumberFormat="1" applyFill="1" applyBorder="1" applyAlignment="1" applyProtection="1"/>
    <xf numFmtId="0" fontId="3" fillId="5" borderId="33" xfId="0" applyFont="1" applyFill="1" applyBorder="1" applyProtection="1"/>
    <xf numFmtId="0" fontId="0" fillId="5" borderId="27" xfId="0" applyFill="1" applyBorder="1" applyProtection="1"/>
    <xf numFmtId="0" fontId="0" fillId="5" borderId="28" xfId="0" applyFill="1" applyBorder="1" applyProtection="1"/>
    <xf numFmtId="0" fontId="0" fillId="5" borderId="21" xfId="0" applyFill="1" applyBorder="1" applyProtection="1"/>
    <xf numFmtId="2" fontId="15" fillId="10" borderId="35" xfId="4" applyNumberFormat="1" applyAlignment="1" applyProtection="1">
      <alignment horizontal="right"/>
    </xf>
    <xf numFmtId="0" fontId="16" fillId="5" borderId="42" xfId="2" applyFont="1" applyFill="1" applyBorder="1" applyProtection="1"/>
    <xf numFmtId="0" fontId="0" fillId="0" borderId="43" xfId="0" applyBorder="1" applyProtection="1"/>
    <xf numFmtId="0" fontId="0" fillId="0" borderId="54" xfId="0" applyBorder="1" applyAlignment="1" applyProtection="1">
      <alignment horizontal="center"/>
    </xf>
    <xf numFmtId="0" fontId="0" fillId="5" borderId="43" xfId="0" applyFill="1" applyBorder="1" applyProtection="1"/>
    <xf numFmtId="0" fontId="0" fillId="5" borderId="54" xfId="0" applyFill="1" applyBorder="1" applyAlignment="1" applyProtection="1">
      <alignment horizontal="center"/>
    </xf>
    <xf numFmtId="0" fontId="3" fillId="5" borderId="18" xfId="0" applyFont="1" applyFill="1" applyBorder="1" applyProtection="1"/>
    <xf numFmtId="3" fontId="7" fillId="5" borderId="9" xfId="0" applyNumberFormat="1" applyFont="1" applyFill="1" applyBorder="1" applyProtection="1"/>
    <xf numFmtId="0" fontId="3" fillId="5" borderId="9" xfId="0" applyFont="1" applyFill="1" applyBorder="1" applyProtection="1"/>
    <xf numFmtId="0" fontId="0" fillId="0" borderId="72" xfId="0" applyBorder="1" applyAlignment="1" applyProtection="1">
      <alignment horizontal="center"/>
    </xf>
    <xf numFmtId="3" fontId="7" fillId="5" borderId="0" xfId="0" applyNumberFormat="1" applyFont="1" applyFill="1" applyBorder="1" applyProtection="1"/>
    <xf numFmtId="0" fontId="3" fillId="5" borderId="23" xfId="0" applyFont="1" applyFill="1" applyBorder="1" applyProtection="1"/>
    <xf numFmtId="0" fontId="0" fillId="5" borderId="72" xfId="0" applyFill="1" applyBorder="1" applyAlignment="1" applyProtection="1">
      <alignment horizontal="center"/>
    </xf>
    <xf numFmtId="1" fontId="3" fillId="0" borderId="9" xfId="0" applyNumberFormat="1" applyFont="1" applyBorder="1" applyProtection="1"/>
    <xf numFmtId="0" fontId="0" fillId="5" borderId="25" xfId="0" applyFill="1" applyBorder="1" applyAlignment="1" applyProtection="1">
      <alignment horizontal="center"/>
    </xf>
    <xf numFmtId="0" fontId="3" fillId="5" borderId="33" xfId="0" applyFont="1" applyFill="1" applyBorder="1" applyAlignment="1" applyProtection="1">
      <alignment horizontal="left"/>
    </xf>
    <xf numFmtId="0" fontId="3" fillId="5" borderId="27" xfId="0" applyFont="1" applyFill="1" applyBorder="1" applyAlignment="1" applyProtection="1">
      <alignment horizontal="left"/>
    </xf>
    <xf numFmtId="0" fontId="3" fillId="5" borderId="28" xfId="0" applyFont="1" applyFill="1" applyBorder="1" applyAlignment="1" applyProtection="1">
      <alignment horizontal="left"/>
    </xf>
    <xf numFmtId="0" fontId="3" fillId="5" borderId="13" xfId="0" applyFont="1" applyFill="1" applyBorder="1" applyProtection="1"/>
    <xf numFmtId="0" fontId="0" fillId="5" borderId="15" xfId="0" applyFill="1" applyBorder="1" applyProtection="1"/>
    <xf numFmtId="10" fontId="0" fillId="5" borderId="0" xfId="0" applyNumberFormat="1" applyFill="1" applyBorder="1" applyProtection="1"/>
    <xf numFmtId="0" fontId="0" fillId="5" borderId="24" xfId="0" applyFill="1" applyBorder="1" applyProtection="1"/>
    <xf numFmtId="0" fontId="3" fillId="5" borderId="0" xfId="0" applyFont="1" applyFill="1" applyBorder="1" applyProtection="1"/>
    <xf numFmtId="0" fontId="1" fillId="7" borderId="49" xfId="0" applyFont="1" applyFill="1" applyBorder="1" applyAlignment="1" applyProtection="1">
      <alignment horizontal="center"/>
    </xf>
    <xf numFmtId="0" fontId="1" fillId="7" borderId="50" xfId="0" applyFont="1" applyFill="1" applyBorder="1" applyAlignment="1" applyProtection="1">
      <alignment horizontal="center"/>
    </xf>
    <xf numFmtId="0" fontId="1" fillId="7" borderId="51" xfId="0" applyFont="1" applyFill="1" applyBorder="1" applyAlignment="1" applyProtection="1">
      <alignment horizontal="center"/>
    </xf>
    <xf numFmtId="0" fontId="1" fillId="7" borderId="1" xfId="0" applyFont="1" applyFill="1" applyBorder="1" applyAlignment="1" applyProtection="1">
      <alignment horizontal="center"/>
    </xf>
    <xf numFmtId="0" fontId="1" fillId="7" borderId="2" xfId="0" applyFont="1" applyFill="1" applyBorder="1" applyAlignment="1" applyProtection="1">
      <alignment horizontal="center"/>
    </xf>
    <xf numFmtId="0" fontId="1" fillId="7" borderId="3" xfId="0" applyFont="1" applyFill="1" applyBorder="1" applyAlignment="1" applyProtection="1">
      <alignment horizontal="center"/>
    </xf>
    <xf numFmtId="4" fontId="3" fillId="0" borderId="9" xfId="0" applyNumberFormat="1" applyFont="1" applyBorder="1" applyProtection="1"/>
    <xf numFmtId="0" fontId="3" fillId="5" borderId="25" xfId="0" applyFont="1" applyFill="1" applyBorder="1" applyProtection="1"/>
    <xf numFmtId="0" fontId="0" fillId="5" borderId="8" xfId="0" applyFill="1" applyBorder="1" applyProtection="1"/>
    <xf numFmtId="0" fontId="3" fillId="5" borderId="11" xfId="0" applyFont="1" applyFill="1" applyBorder="1" applyAlignment="1" applyProtection="1">
      <alignment horizontal="left"/>
    </xf>
    <xf numFmtId="4" fontId="3" fillId="5" borderId="9" xfId="0" applyNumberFormat="1" applyFont="1" applyFill="1" applyBorder="1" applyProtection="1"/>
    <xf numFmtId="3" fontId="3" fillId="0" borderId="9" xfId="0" applyNumberFormat="1" applyFont="1" applyBorder="1" applyProtection="1"/>
    <xf numFmtId="3" fontId="3" fillId="5" borderId="9" xfId="0" applyNumberFormat="1" applyFont="1" applyFill="1" applyBorder="1" applyProtection="1"/>
    <xf numFmtId="0" fontId="3" fillId="5" borderId="12" xfId="0" applyFont="1" applyFill="1" applyBorder="1" applyProtection="1"/>
    <xf numFmtId="0" fontId="3" fillId="5" borderId="80" xfId="0" applyFont="1" applyFill="1" applyBorder="1" applyAlignment="1" applyProtection="1">
      <alignment horizontal="left"/>
    </xf>
    <xf numFmtId="0" fontId="3" fillId="5" borderId="71" xfId="0" applyFont="1" applyFill="1" applyBorder="1" applyAlignment="1" applyProtection="1">
      <alignment horizontal="left"/>
    </xf>
    <xf numFmtId="3" fontId="3" fillId="5" borderId="47" xfId="0" applyNumberFormat="1" applyFont="1" applyFill="1" applyBorder="1" applyProtection="1"/>
    <xf numFmtId="0" fontId="3" fillId="5" borderId="16" xfId="0" applyFont="1" applyFill="1" applyBorder="1" applyProtection="1"/>
    <xf numFmtId="0" fontId="3" fillId="0" borderId="6" xfId="0" applyFont="1" applyBorder="1" applyAlignment="1" applyProtection="1">
      <alignment horizontal="left"/>
    </xf>
    <xf numFmtId="0" fontId="3" fillId="0" borderId="94" xfId="0" applyFont="1" applyBorder="1" applyAlignment="1" applyProtection="1">
      <alignment horizontal="left"/>
    </xf>
    <xf numFmtId="3" fontId="3" fillId="0" borderId="15" xfId="0" applyNumberFormat="1" applyFont="1" applyBorder="1" applyProtection="1"/>
    <xf numFmtId="0" fontId="1" fillId="7" borderId="1" xfId="0" applyFont="1" applyFill="1" applyBorder="1" applyAlignment="1" applyProtection="1">
      <alignment horizontal="center"/>
    </xf>
    <xf numFmtId="0" fontId="1" fillId="7" borderId="2" xfId="0" applyFont="1" applyFill="1" applyBorder="1" applyAlignment="1" applyProtection="1">
      <alignment horizontal="center"/>
    </xf>
    <xf numFmtId="0" fontId="1" fillId="7" borderId="3" xfId="0" applyFont="1" applyFill="1" applyBorder="1" applyAlignment="1" applyProtection="1">
      <alignment horizontal="center"/>
    </xf>
    <xf numFmtId="0" fontId="3" fillId="5" borderId="34" xfId="0" applyFont="1" applyFill="1" applyBorder="1" applyAlignment="1" applyProtection="1">
      <alignment horizontal="left"/>
    </xf>
    <xf numFmtId="0" fontId="3" fillId="5" borderId="26" xfId="0" applyFont="1" applyFill="1" applyBorder="1" applyAlignment="1" applyProtection="1">
      <alignment horizontal="left"/>
    </xf>
    <xf numFmtId="0" fontId="3" fillId="5" borderId="19" xfId="0" applyFont="1" applyFill="1" applyBorder="1" applyProtection="1"/>
    <xf numFmtId="0" fontId="0" fillId="5" borderId="34" xfId="0" applyFill="1" applyBorder="1" applyProtection="1"/>
    <xf numFmtId="0" fontId="0" fillId="5" borderId="26" xfId="0" applyFill="1" applyBorder="1" applyProtection="1"/>
    <xf numFmtId="2" fontId="0" fillId="5" borderId="28" xfId="0" applyNumberFormat="1" applyFill="1" applyBorder="1" applyProtection="1"/>
    <xf numFmtId="2" fontId="0" fillId="5" borderId="29" xfId="0" applyNumberFormat="1" applyFill="1" applyBorder="1" applyProtection="1"/>
    <xf numFmtId="3" fontId="0" fillId="5" borderId="0" xfId="0" applyNumberFormat="1" applyFill="1" applyBorder="1" applyProtection="1"/>
    <xf numFmtId="2" fontId="0" fillId="5" borderId="70" xfId="0" applyNumberFormat="1" applyFont="1" applyFill="1" applyBorder="1" applyProtection="1"/>
    <xf numFmtId="0" fontId="0" fillId="5" borderId="33" xfId="0" applyFill="1" applyBorder="1" applyProtection="1"/>
    <xf numFmtId="2" fontId="0" fillId="5" borderId="28" xfId="0" applyNumberFormat="1" applyFont="1" applyFill="1" applyBorder="1" applyProtection="1"/>
    <xf numFmtId="0" fontId="0" fillId="0" borderId="33" xfId="0" applyBorder="1" applyAlignment="1" applyProtection="1">
      <alignment horizontal="center"/>
    </xf>
    <xf numFmtId="0" fontId="0" fillId="0" borderId="28" xfId="0" applyBorder="1" applyAlignment="1" applyProtection="1">
      <alignment horizontal="center"/>
    </xf>
    <xf numFmtId="2" fontId="0" fillId="5" borderId="23" xfId="0" applyNumberFormat="1" applyFill="1" applyBorder="1" applyProtection="1"/>
    <xf numFmtId="1" fontId="3" fillId="5" borderId="23" xfId="0" applyNumberFormat="1" applyFont="1" applyFill="1" applyBorder="1" applyProtection="1"/>
    <xf numFmtId="2" fontId="3" fillId="5" borderId="26" xfId="0" applyNumberFormat="1" applyFont="1" applyFill="1" applyBorder="1" applyProtection="1"/>
    <xf numFmtId="0" fontId="3" fillId="5" borderId="11" xfId="0" applyFont="1" applyFill="1" applyBorder="1" applyAlignment="1" applyProtection="1">
      <alignment horizontal="left"/>
    </xf>
    <xf numFmtId="1" fontId="3" fillId="5" borderId="9" xfId="0" applyNumberFormat="1" applyFont="1" applyFill="1" applyBorder="1" applyProtection="1"/>
    <xf numFmtId="2" fontId="3" fillId="5" borderId="28" xfId="0" applyNumberFormat="1" applyFont="1" applyFill="1" applyBorder="1" applyProtection="1"/>
    <xf numFmtId="2" fontId="3" fillId="5" borderId="9" xfId="0" applyNumberFormat="1" applyFont="1" applyFill="1" applyBorder="1" applyProtection="1"/>
    <xf numFmtId="0" fontId="0" fillId="5" borderId="9" xfId="0" applyFill="1" applyBorder="1" applyAlignment="1" applyProtection="1">
      <alignment horizontal="left"/>
    </xf>
    <xf numFmtId="0" fontId="7" fillId="5" borderId="13" xfId="0" applyFont="1" applyFill="1" applyBorder="1" applyProtection="1"/>
    <xf numFmtId="1" fontId="14" fillId="10" borderId="36" xfId="3" applyNumberFormat="1" applyBorder="1" applyProtection="1"/>
    <xf numFmtId="0" fontId="7" fillId="5" borderId="33" xfId="0" applyFont="1" applyFill="1" applyBorder="1" applyAlignment="1" applyProtection="1">
      <alignment horizontal="left"/>
    </xf>
    <xf numFmtId="1" fontId="14" fillId="10" borderId="98" xfId="3" applyNumberFormat="1" applyBorder="1" applyProtection="1"/>
    <xf numFmtId="2" fontId="14" fillId="10" borderId="96" xfId="3" applyNumberFormat="1" applyBorder="1" applyProtection="1"/>
    <xf numFmtId="2" fontId="0" fillId="5" borderId="15" xfId="0" applyNumberFormat="1" applyFill="1" applyBorder="1" applyProtection="1"/>
    <xf numFmtId="1" fontId="14" fillId="10" borderId="55" xfId="3" applyNumberFormat="1" applyBorder="1" applyAlignment="1" applyProtection="1">
      <alignment horizontal="right"/>
    </xf>
    <xf numFmtId="2" fontId="14" fillId="10" borderId="56" xfId="3" applyNumberFormat="1" applyBorder="1" applyProtection="1"/>
    <xf numFmtId="0" fontId="3" fillId="5" borderId="6" xfId="0" applyFont="1" applyFill="1" applyBorder="1" applyAlignment="1" applyProtection="1">
      <alignment horizontal="left"/>
    </xf>
    <xf numFmtId="0" fontId="3" fillId="5" borderId="15" xfId="0" applyFont="1" applyFill="1" applyBorder="1" applyAlignment="1" applyProtection="1">
      <alignment horizontal="left"/>
    </xf>
    <xf numFmtId="1" fontId="14" fillId="10" borderId="68" xfId="3" applyNumberFormat="1" applyBorder="1" applyAlignment="1" applyProtection="1">
      <alignment horizontal="right"/>
    </xf>
    <xf numFmtId="2" fontId="14" fillId="10" borderId="97" xfId="3" applyNumberFormat="1" applyBorder="1" applyProtection="1"/>
    <xf numFmtId="0" fontId="0" fillId="5" borderId="6" xfId="0" applyFill="1" applyBorder="1" applyProtection="1"/>
    <xf numFmtId="0" fontId="0" fillId="5" borderId="0" xfId="0" applyFill="1" applyAlignment="1" applyProtection="1">
      <alignment vertical="center"/>
    </xf>
    <xf numFmtId="0" fontId="0" fillId="8" borderId="0" xfId="0" applyFill="1" applyProtection="1"/>
    <xf numFmtId="0" fontId="7" fillId="5" borderId="0" xfId="0" applyFont="1" applyFill="1" applyAlignment="1" applyProtection="1">
      <alignment horizontal="right"/>
    </xf>
    <xf numFmtId="0" fontId="11" fillId="8" borderId="0" xfId="0" applyFont="1" applyFill="1" applyAlignment="1" applyProtection="1">
      <alignment horizontal="center"/>
    </xf>
    <xf numFmtId="0" fontId="6" fillId="19" borderId="4" xfId="0" applyFont="1" applyFill="1" applyBorder="1" applyAlignment="1" applyProtection="1">
      <alignment horizontal="center"/>
    </xf>
    <xf numFmtId="0" fontId="6" fillId="19" borderId="0" xfId="0" applyFont="1" applyFill="1" applyBorder="1" applyAlignment="1" applyProtection="1">
      <alignment horizontal="center"/>
    </xf>
    <xf numFmtId="0" fontId="6" fillId="19" borderId="5" xfId="0" applyFont="1" applyFill="1" applyBorder="1" applyAlignment="1" applyProtection="1">
      <alignment horizontal="center"/>
    </xf>
    <xf numFmtId="0" fontId="18" fillId="14" borderId="30" xfId="0" applyFont="1" applyFill="1" applyBorder="1" applyAlignment="1" applyProtection="1">
      <alignment horizontal="center" wrapText="1"/>
    </xf>
    <xf numFmtId="0" fontId="18" fillId="14" borderId="32" xfId="0" applyFont="1" applyFill="1" applyBorder="1" applyAlignment="1" applyProtection="1">
      <alignment horizontal="center" wrapText="1"/>
    </xf>
    <xf numFmtId="10" fontId="40" fillId="22" borderId="52" xfId="1" applyNumberFormat="1" applyFont="1" applyFill="1" applyBorder="1" applyAlignment="1" applyProtection="1">
      <alignment horizontal="center"/>
    </xf>
    <xf numFmtId="10" fontId="40" fillId="22" borderId="20" xfId="1" applyNumberFormat="1"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3" fillId="0" borderId="9" xfId="0" applyFont="1" applyBorder="1" applyAlignment="1" applyProtection="1">
      <alignment horizontal="center" vertical="center"/>
    </xf>
    <xf numFmtId="0" fontId="3" fillId="0" borderId="12" xfId="0" applyFont="1" applyFill="1" applyBorder="1" applyProtection="1"/>
    <xf numFmtId="2" fontId="0" fillId="3" borderId="28" xfId="0" applyNumberFormat="1" applyFill="1" applyBorder="1" applyProtection="1"/>
    <xf numFmtId="2" fontId="0" fillId="0" borderId="29" xfId="0" applyNumberFormat="1" applyBorder="1" applyAlignment="1" applyProtection="1">
      <alignment horizontal="center"/>
    </xf>
    <xf numFmtId="2" fontId="0" fillId="0" borderId="54" xfId="0" applyNumberFormat="1" applyBorder="1" applyAlignment="1" applyProtection="1">
      <alignment horizontal="center"/>
    </xf>
    <xf numFmtId="2" fontId="0" fillId="0" borderId="24" xfId="0" applyNumberFormat="1" applyBorder="1" applyAlignment="1" applyProtection="1">
      <alignment horizontal="center"/>
    </xf>
    <xf numFmtId="2" fontId="0" fillId="0" borderId="72" xfId="0" applyNumberFormat="1" applyBorder="1" applyAlignment="1" applyProtection="1">
      <alignment horizontal="center"/>
    </xf>
    <xf numFmtId="0" fontId="0" fillId="0" borderId="46" xfId="0" applyBorder="1" applyProtection="1"/>
    <xf numFmtId="2" fontId="0" fillId="0" borderId="15" xfId="0" applyNumberFormat="1" applyBorder="1" applyAlignment="1" applyProtection="1">
      <alignment horizontal="center"/>
    </xf>
    <xf numFmtId="2" fontId="15" fillId="10" borderId="47" xfId="4" applyNumberFormat="1" applyBorder="1" applyProtection="1"/>
    <xf numFmtId="2" fontId="0" fillId="0" borderId="16" xfId="0" applyNumberFormat="1" applyBorder="1" applyAlignment="1" applyProtection="1">
      <alignment horizontal="center"/>
    </xf>
    <xf numFmtId="0" fontId="0" fillId="3" borderId="14" xfId="0" applyFill="1" applyBorder="1" applyProtection="1"/>
    <xf numFmtId="2" fontId="0" fillId="3" borderId="8" xfId="0" applyNumberFormat="1" applyFill="1" applyBorder="1" applyProtection="1"/>
    <xf numFmtId="0" fontId="1" fillId="7" borderId="30" xfId="0" applyFont="1" applyFill="1" applyBorder="1" applyAlignment="1" applyProtection="1">
      <alignment horizontal="center"/>
    </xf>
    <xf numFmtId="0" fontId="1" fillId="7" borderId="31" xfId="0" applyFont="1" applyFill="1" applyBorder="1" applyAlignment="1" applyProtection="1">
      <alignment horizontal="center"/>
    </xf>
    <xf numFmtId="0" fontId="1" fillId="7" borderId="32" xfId="0" applyFont="1" applyFill="1" applyBorder="1" applyAlignment="1" applyProtection="1">
      <alignment horizontal="center"/>
    </xf>
    <xf numFmtId="0" fontId="0" fillId="5" borderId="33" xfId="0" applyFill="1" applyBorder="1" applyAlignment="1" applyProtection="1">
      <alignment horizontal="center"/>
    </xf>
    <xf numFmtId="0" fontId="3" fillId="5" borderId="33" xfId="0" applyFont="1" applyFill="1" applyBorder="1" applyAlignment="1" applyProtection="1">
      <alignment horizontal="center"/>
    </xf>
    <xf numFmtId="0" fontId="3" fillId="5" borderId="27" xfId="0" applyFont="1" applyFill="1" applyBorder="1" applyAlignment="1" applyProtection="1">
      <alignment horizontal="center"/>
    </xf>
    <xf numFmtId="0" fontId="3" fillId="5" borderId="28" xfId="0" applyFont="1" applyFill="1" applyBorder="1" applyAlignment="1" applyProtection="1">
      <alignment horizontal="center"/>
    </xf>
    <xf numFmtId="0" fontId="0" fillId="5" borderId="11" xfId="0" applyFill="1" applyBorder="1" applyProtection="1"/>
    <xf numFmtId="165" fontId="14" fillId="10" borderId="36" xfId="3" applyNumberFormat="1" applyBorder="1" applyProtection="1"/>
    <xf numFmtId="165" fontId="14" fillId="10" borderId="39" xfId="3" applyNumberFormat="1" applyBorder="1" applyProtection="1"/>
    <xf numFmtId="0" fontId="3" fillId="5" borderId="19" xfId="0" applyFont="1" applyFill="1" applyBorder="1" applyAlignment="1" applyProtection="1">
      <alignment horizontal="center"/>
    </xf>
    <xf numFmtId="0" fontId="3" fillId="5" borderId="34" xfId="0" applyFont="1" applyFill="1" applyBorder="1" applyAlignment="1" applyProtection="1">
      <alignment horizontal="center"/>
    </xf>
    <xf numFmtId="0" fontId="3" fillId="5" borderId="26" xfId="0" applyFont="1" applyFill="1" applyBorder="1" applyAlignment="1" applyProtection="1">
      <alignment horizontal="center"/>
    </xf>
    <xf numFmtId="2" fontId="0" fillId="3" borderId="47" xfId="0" applyNumberFormat="1" applyFill="1" applyBorder="1" applyAlignment="1" applyProtection="1">
      <alignment horizontal="center"/>
    </xf>
    <xf numFmtId="2" fontId="0" fillId="3" borderId="48" xfId="0" applyNumberFormat="1" applyFill="1" applyBorder="1" applyAlignment="1" applyProtection="1">
      <alignment horizontal="center"/>
    </xf>
    <xf numFmtId="0" fontId="0" fillId="0" borderId="75" xfId="0" applyBorder="1" applyAlignment="1" applyProtection="1">
      <alignment horizontal="center"/>
    </xf>
    <xf numFmtId="0" fontId="0" fillId="0" borderId="74" xfId="0" applyBorder="1" applyAlignment="1" applyProtection="1">
      <alignment horizontal="center"/>
    </xf>
    <xf numFmtId="0" fontId="0" fillId="0" borderId="70" xfId="0" applyBorder="1" applyAlignment="1" applyProtection="1">
      <alignment horizontal="center"/>
    </xf>
    <xf numFmtId="0" fontId="0" fillId="5" borderId="21" xfId="0" applyFill="1" applyBorder="1" applyAlignment="1" applyProtection="1">
      <alignment horizontal="center"/>
    </xf>
    <xf numFmtId="165" fontId="14" fillId="10" borderId="77" xfId="3" applyNumberFormat="1" applyBorder="1" applyProtection="1"/>
    <xf numFmtId="165" fontId="14" fillId="10" borderId="78" xfId="3" applyNumberFormat="1" applyBorder="1" applyProtection="1"/>
    <xf numFmtId="9" fontId="14" fillId="5" borderId="79" xfId="3" applyNumberFormat="1" applyFill="1" applyBorder="1" applyProtection="1"/>
    <xf numFmtId="0" fontId="0" fillId="5" borderId="18" xfId="0" applyFill="1" applyBorder="1" applyAlignment="1" applyProtection="1">
      <alignment horizontal="center"/>
    </xf>
    <xf numFmtId="165" fontId="14" fillId="10" borderId="69" xfId="3" applyNumberFormat="1" applyBorder="1" applyProtection="1"/>
    <xf numFmtId="9" fontId="14" fillId="5" borderId="76" xfId="3" applyNumberFormat="1" applyFill="1" applyBorder="1" applyProtection="1"/>
    <xf numFmtId="0" fontId="23" fillId="0" borderId="0" xfId="10" applyBorder="1" applyProtection="1"/>
    <xf numFmtId="0" fontId="23" fillId="0" borderId="5" xfId="10" applyBorder="1" applyProtection="1"/>
    <xf numFmtId="9" fontId="14" fillId="5" borderId="39" xfId="3" applyNumberFormat="1" applyFill="1" applyBorder="1" applyProtection="1"/>
    <xf numFmtId="0" fontId="3" fillId="5" borderId="84" xfId="0" applyFont="1" applyFill="1" applyBorder="1" applyAlignment="1" applyProtection="1">
      <alignment horizontal="left"/>
    </xf>
    <xf numFmtId="165" fontId="20" fillId="10" borderId="36" xfId="3" applyNumberFormat="1" applyFont="1" applyBorder="1" applyProtection="1"/>
    <xf numFmtId="165" fontId="20" fillId="10" borderId="39" xfId="3" applyNumberFormat="1" applyFont="1" applyBorder="1" applyProtection="1"/>
    <xf numFmtId="0" fontId="3" fillId="5" borderId="80" xfId="0" applyFont="1" applyFill="1" applyBorder="1" applyAlignment="1" applyProtection="1">
      <alignment horizontal="left"/>
    </xf>
    <xf numFmtId="0" fontId="3" fillId="5" borderId="85" xfId="0" applyFont="1" applyFill="1" applyBorder="1" applyAlignment="1" applyProtection="1">
      <alignment horizontal="left"/>
    </xf>
    <xf numFmtId="165" fontId="20" fillId="10" borderId="55" xfId="3" applyNumberFormat="1" applyFont="1" applyBorder="1" applyProtection="1"/>
    <xf numFmtId="165" fontId="20" fillId="10" borderId="56" xfId="3" applyNumberFormat="1" applyFont="1" applyBorder="1" applyProtection="1"/>
    <xf numFmtId="0" fontId="24" fillId="0" borderId="0" xfId="10" applyFont="1" applyProtection="1"/>
    <xf numFmtId="0" fontId="5" fillId="0" borderId="0" xfId="10" applyFont="1" applyProtection="1"/>
    <xf numFmtId="0" fontId="26" fillId="0" borderId="0" xfId="10" applyFont="1" applyProtection="1"/>
    <xf numFmtId="0" fontId="25" fillId="0" borderId="60" xfId="6" applyFont="1" applyBorder="1" applyAlignment="1" applyProtection="1">
      <alignment horizontal="center" vertical="center" wrapText="1"/>
    </xf>
    <xf numFmtId="0" fontId="25" fillId="0" borderId="61" xfId="6" applyFont="1" applyBorder="1" applyAlignment="1" applyProtection="1">
      <alignment horizontal="center" vertical="center" wrapText="1"/>
    </xf>
    <xf numFmtId="0" fontId="25" fillId="0" borderId="62" xfId="6" applyFont="1" applyBorder="1" applyAlignment="1" applyProtection="1">
      <alignment horizontal="center" vertical="center" wrapText="1"/>
    </xf>
    <xf numFmtId="0" fontId="27" fillId="0" borderId="59" xfId="10" applyFont="1" applyBorder="1" applyProtection="1"/>
    <xf numFmtId="0" fontId="27" fillId="0" borderId="0" xfId="10" applyFont="1" applyAlignment="1" applyProtection="1">
      <alignment horizontal="center" vertical="center" wrapText="1"/>
    </xf>
    <xf numFmtId="0" fontId="28" fillId="0" borderId="63" xfId="10" applyFont="1" applyBorder="1" applyAlignment="1" applyProtection="1">
      <alignment horizontal="center" vertical="center" wrapText="1"/>
    </xf>
    <xf numFmtId="0" fontId="28" fillId="0" borderId="64" xfId="10" applyFont="1" applyBorder="1" applyAlignment="1" applyProtection="1">
      <alignment horizontal="center" vertical="center" wrapText="1"/>
    </xf>
    <xf numFmtId="0" fontId="36" fillId="14" borderId="1" xfId="6" applyFont="1" applyFill="1" applyBorder="1" applyAlignment="1" applyProtection="1">
      <alignment horizontal="center" vertical="center"/>
    </xf>
    <xf numFmtId="0" fontId="36" fillId="14" borderId="3" xfId="6" applyFont="1" applyFill="1" applyBorder="1" applyAlignment="1" applyProtection="1">
      <alignment horizontal="center" vertical="center"/>
    </xf>
    <xf numFmtId="0" fontId="24" fillId="0" borderId="63" xfId="10" applyFont="1" applyBorder="1" applyProtection="1"/>
    <xf numFmtId="0" fontId="28" fillId="0" borderId="60" xfId="10" applyFont="1" applyBorder="1" applyAlignment="1" applyProtection="1">
      <alignment horizontal="center" vertical="center" wrapText="1"/>
    </xf>
    <xf numFmtId="1" fontId="29" fillId="5" borderId="59" xfId="10" applyNumberFormat="1" applyFont="1" applyFill="1" applyBorder="1" applyAlignment="1" applyProtection="1">
      <alignment horizontal="center" vertical="center" wrapText="1"/>
    </xf>
    <xf numFmtId="0" fontId="30" fillId="0" borderId="59" xfId="10" applyFont="1" applyBorder="1" applyAlignment="1" applyProtection="1">
      <alignment horizontal="left" vertical="center" wrapText="1"/>
    </xf>
    <xf numFmtId="0" fontId="33" fillId="20" borderId="12" xfId="12" applyFill="1" applyBorder="1" applyProtection="1"/>
    <xf numFmtId="0" fontId="27" fillId="0" borderId="59" xfId="10" applyFont="1" applyBorder="1" applyAlignment="1" applyProtection="1">
      <alignment vertical="center"/>
    </xf>
    <xf numFmtId="0" fontId="0" fillId="0" borderId="59" xfId="0" quotePrefix="1" applyNumberFormat="1" applyBorder="1" applyAlignment="1" applyProtection="1">
      <alignment horizontal="center"/>
    </xf>
    <xf numFmtId="0" fontId="24" fillId="0" borderId="0" xfId="10" applyFont="1" applyAlignment="1" applyProtection="1">
      <alignment horizontal="center" wrapText="1"/>
    </xf>
    <xf numFmtId="0" fontId="34" fillId="18" borderId="12" xfId="13" applyBorder="1" applyProtection="1"/>
    <xf numFmtId="0" fontId="24" fillId="0" borderId="21" xfId="10" applyFont="1" applyBorder="1" applyAlignment="1" applyProtection="1">
      <alignment horizontal="left" wrapText="1"/>
    </xf>
    <xf numFmtId="0" fontId="32" fillId="21" borderId="54" xfId="11" applyFill="1" applyBorder="1" applyAlignment="1" applyProtection="1">
      <alignment horizontal="center"/>
    </xf>
    <xf numFmtId="0" fontId="24" fillId="0" borderId="18" xfId="10" applyFont="1" applyBorder="1" applyAlignment="1" applyProtection="1">
      <alignment horizontal="left" wrapText="1"/>
    </xf>
    <xf numFmtId="0" fontId="32" fillId="21" borderId="25" xfId="11" applyFill="1" applyBorder="1" applyAlignment="1" applyProtection="1">
      <alignment horizontal="center"/>
    </xf>
    <xf numFmtId="0" fontId="23" fillId="4" borderId="48" xfId="10" applyFill="1" applyBorder="1" applyProtection="1"/>
    <xf numFmtId="0" fontId="30" fillId="0" borderId="60" xfId="10" applyFont="1" applyBorder="1" applyAlignment="1" applyProtection="1">
      <alignment horizontal="left" vertical="center" wrapText="1"/>
    </xf>
    <xf numFmtId="0" fontId="24" fillId="0" borderId="0" xfId="10" applyFont="1" applyBorder="1" applyProtection="1"/>
    <xf numFmtId="0" fontId="23" fillId="0" borderId="0" xfId="10" applyFill="1" applyBorder="1" applyProtection="1"/>
    <xf numFmtId="0" fontId="24" fillId="0" borderId="59" xfId="10" applyFont="1" applyBorder="1" applyProtection="1"/>
    <xf numFmtId="0" fontId="35" fillId="19" borderId="49" xfId="10" applyFont="1" applyFill="1" applyBorder="1" applyAlignment="1" applyProtection="1">
      <alignment horizontal="center"/>
    </xf>
    <xf numFmtId="0" fontId="35" fillId="19" borderId="51" xfId="10" applyFont="1" applyFill="1" applyBorder="1" applyAlignment="1" applyProtection="1">
      <alignment horizontal="center"/>
    </xf>
    <xf numFmtId="0" fontId="23" fillId="0" borderId="13" xfId="10" applyBorder="1" applyProtection="1"/>
    <xf numFmtId="0" fontId="28" fillId="0" borderId="59" xfId="10" applyFont="1" applyBorder="1" applyAlignment="1" applyProtection="1">
      <alignment horizontal="center" vertical="center" wrapText="1"/>
    </xf>
    <xf numFmtId="0" fontId="23" fillId="0" borderId="46" xfId="10" applyBorder="1" applyProtection="1"/>
    <xf numFmtId="0" fontId="14" fillId="10" borderId="56" xfId="3" applyBorder="1" applyAlignment="1" applyProtection="1">
      <alignment horizontal="right"/>
    </xf>
    <xf numFmtId="0" fontId="30" fillId="0" borderId="65" xfId="10" applyFont="1" applyBorder="1" applyAlignment="1" applyProtection="1">
      <alignment horizontal="left" vertical="center" wrapText="1"/>
    </xf>
    <xf numFmtId="0" fontId="24" fillId="0" borderId="65" xfId="10" applyFont="1" applyBorder="1" applyProtection="1"/>
    <xf numFmtId="0" fontId="27" fillId="0" borderId="60" xfId="10" applyFont="1" applyBorder="1" applyProtection="1"/>
    <xf numFmtId="0" fontId="27" fillId="0" borderId="0" xfId="10" applyFont="1" applyProtection="1"/>
    <xf numFmtId="0" fontId="41" fillId="0" borderId="13" xfId="0" applyFont="1" applyBorder="1" applyProtection="1"/>
    <xf numFmtId="0" fontId="27" fillId="0" borderId="59" xfId="10" applyFont="1" applyBorder="1" applyAlignment="1" applyProtection="1">
      <alignment horizontal="center" vertical="center"/>
    </xf>
    <xf numFmtId="1" fontId="29" fillId="5" borderId="59" xfId="10" applyNumberFormat="1" applyFont="1" applyFill="1" applyBorder="1" applyAlignment="1" applyProtection="1">
      <alignment vertical="center" wrapText="1"/>
    </xf>
    <xf numFmtId="0" fontId="31" fillId="0" borderId="59" xfId="10" applyFont="1" applyBorder="1" applyAlignment="1" applyProtection="1">
      <alignment horizontal="center" vertical="center" wrapText="1"/>
    </xf>
    <xf numFmtId="0" fontId="17" fillId="0" borderId="3" xfId="10" applyFont="1" applyBorder="1" applyAlignment="1" applyProtection="1">
      <alignment vertical="center" wrapText="1"/>
    </xf>
    <xf numFmtId="0" fontId="28" fillId="0" borderId="60" xfId="10" applyFont="1" applyFill="1" applyBorder="1" applyAlignment="1" applyProtection="1">
      <alignment horizontal="center" vertical="center" wrapText="1"/>
    </xf>
    <xf numFmtId="0" fontId="23" fillId="0" borderId="59" xfId="10" applyBorder="1" applyProtection="1"/>
    <xf numFmtId="0" fontId="23" fillId="0" borderId="63" xfId="10" applyBorder="1" applyProtection="1"/>
    <xf numFmtId="0" fontId="24" fillId="0" borderId="62" xfId="10" applyFont="1" applyBorder="1" applyProtection="1"/>
    <xf numFmtId="1" fontId="17" fillId="0" borderId="3" xfId="10" applyNumberFormat="1" applyFont="1" applyBorder="1" applyAlignment="1" applyProtection="1">
      <alignment vertical="center" wrapText="1"/>
    </xf>
    <xf numFmtId="1" fontId="17" fillId="0" borderId="62" xfId="10" applyNumberFormat="1" applyFont="1" applyBorder="1" applyAlignment="1" applyProtection="1">
      <alignment vertical="center" wrapText="1"/>
    </xf>
    <xf numFmtId="1" fontId="29" fillId="5" borderId="65" xfId="10" applyNumberFormat="1" applyFont="1" applyFill="1" applyBorder="1" applyAlignment="1" applyProtection="1">
      <alignment vertical="center" wrapText="1"/>
    </xf>
    <xf numFmtId="0" fontId="22" fillId="0" borderId="60" xfId="6" applyBorder="1" applyAlignment="1" applyProtection="1">
      <alignment horizontal="center"/>
    </xf>
    <xf numFmtId="0" fontId="22" fillId="0" borderId="62" xfId="6" applyBorder="1" applyAlignment="1" applyProtection="1">
      <alignment horizontal="center"/>
    </xf>
    <xf numFmtId="0" fontId="24" fillId="0" borderId="63" xfId="10" applyFont="1" applyBorder="1" applyAlignment="1" applyProtection="1">
      <alignment horizontal="left" wrapText="1"/>
    </xf>
    <xf numFmtId="1" fontId="17" fillId="0" borderId="65" xfId="10" applyNumberFormat="1" applyFont="1" applyBorder="1" applyAlignment="1" applyProtection="1">
      <alignment vertical="center" wrapText="1"/>
    </xf>
    <xf numFmtId="0" fontId="24" fillId="0" borderId="64" xfId="10" applyFont="1" applyBorder="1" applyProtection="1"/>
    <xf numFmtId="1" fontId="17" fillId="0" borderId="59" xfId="10" applyNumberFormat="1" applyFont="1" applyBorder="1" applyAlignment="1" applyProtection="1">
      <alignment vertical="center" wrapText="1"/>
    </xf>
  </cellXfs>
  <cellStyles count="14">
    <cellStyle name="Bad" xfId="12" builtinId="27"/>
    <cellStyle name="Calculation" xfId="4" builtinId="22"/>
    <cellStyle name="Good" xfId="11" builtinId="26"/>
    <cellStyle name="Heading 1" xfId="6" builtinId="16"/>
    <cellStyle name="Input" xfId="2" builtinId="20"/>
    <cellStyle name="Neutral" xfId="13" builtinId="28"/>
    <cellStyle name="Normal" xfId="0" builtinId="0"/>
    <cellStyle name="Normal 2" xfId="10" xr:uid="{39B7DB76-E1D4-4213-B684-22BF059EB7CC}"/>
    <cellStyle name="Note" xfId="5" builtinId="10"/>
    <cellStyle name="Output" xfId="3" builtinId="21"/>
    <cellStyle name="Percent" xfId="1" builtinId="5"/>
    <cellStyle name="Standaard 2" xfId="9" xr:uid="{BDA0AA49-430C-4366-99BF-2E4C6BC6FD72}"/>
    <cellStyle name="Standaard 2 2" xfId="7" xr:uid="{C52A45DF-C426-42E9-B506-39BD66D12B59}"/>
    <cellStyle name="Standaard 3 3" xfId="8" xr:uid="{FAEBA400-2BB8-4253-AA0C-1EDF6524F088}"/>
  </cellStyles>
  <dxfs count="51">
    <dxf>
      <font>
        <color theme="0"/>
      </font>
      <fill>
        <patternFill>
          <bgColor rgb="FF7030A0"/>
        </patternFill>
      </fill>
    </dxf>
    <dxf>
      <fill>
        <gradientFill>
          <stop position="0">
            <color rgb="FFFFFF00"/>
          </stop>
          <stop position="1">
            <color rgb="FF00B050"/>
          </stop>
        </gradientFill>
      </fill>
    </dxf>
    <dxf>
      <font>
        <color theme="0"/>
      </font>
      <fill>
        <gradientFill>
          <stop position="0">
            <color rgb="FFFF0000"/>
          </stop>
          <stop position="1">
            <color theme="9"/>
          </stop>
        </gradientFill>
      </fill>
    </dxf>
    <dxf>
      <font>
        <color theme="0"/>
      </font>
      <fill>
        <gradientFill>
          <stop position="0">
            <color rgb="FF00B050"/>
          </stop>
          <stop position="1">
            <color rgb="FFFF0000"/>
          </stop>
        </gradientFill>
      </fill>
    </dxf>
    <dxf>
      <fill>
        <gradientFill>
          <stop position="0">
            <color rgb="FFFFFF00"/>
          </stop>
          <stop position="1">
            <color rgb="FFFFC000"/>
          </stop>
        </gradientFill>
      </fill>
    </dxf>
    <dxf>
      <font>
        <color auto="1"/>
      </font>
      <fill>
        <patternFill>
          <bgColor theme="0" tint="-0.24994659260841701"/>
        </patternFill>
      </fill>
    </dxf>
    <dxf>
      <fill>
        <patternFill>
          <bgColor rgb="FFFFC000"/>
        </patternFill>
      </fill>
    </dxf>
    <dxf>
      <fill>
        <patternFill>
          <bgColor rgb="FF00B050"/>
        </patternFill>
      </fill>
    </dxf>
    <dxf>
      <font>
        <color auto="1"/>
      </font>
      <fill>
        <patternFill>
          <bgColor rgb="FFFFFF00"/>
        </patternFill>
      </fill>
    </dxf>
    <dxf>
      <fill>
        <patternFill>
          <bgColor rgb="FFFF0000"/>
        </patternFill>
      </fill>
    </dxf>
    <dxf>
      <font>
        <color theme="0"/>
      </font>
      <fill>
        <patternFill>
          <bgColor theme="9" tint="-0.24994659260841701"/>
        </patternFill>
      </fill>
    </dxf>
    <dxf>
      <font>
        <color theme="0"/>
      </font>
      <fill>
        <patternFill>
          <bgColor rgb="FFC00000"/>
        </patternFill>
      </fill>
    </dxf>
    <dxf>
      <font>
        <color rgb="FF9C5700"/>
      </font>
      <fill>
        <patternFill>
          <bgColor rgb="FFFFEB9C"/>
        </patternFill>
      </fill>
    </dxf>
    <dxf>
      <font>
        <color theme="1"/>
      </font>
      <fill>
        <patternFill>
          <bgColor theme="9" tint="0.59996337778862885"/>
        </patternFill>
      </fill>
    </dxf>
    <dxf>
      <fill>
        <patternFill>
          <bgColor theme="5" tint="0.59996337778862885"/>
        </patternFill>
      </fill>
    </dxf>
    <dxf>
      <font>
        <color theme="0"/>
      </font>
      <fill>
        <patternFill>
          <bgColor theme="9" tint="-0.24994659260841701"/>
        </patternFill>
      </fill>
    </dxf>
    <dxf>
      <font>
        <color theme="0"/>
      </font>
      <fill>
        <patternFill>
          <bgColor rgb="FFC00000"/>
        </patternFill>
      </fill>
    </dxf>
    <dxf>
      <font>
        <color rgb="FF9C5700"/>
      </font>
      <fill>
        <patternFill>
          <bgColor rgb="FFFFEB9C"/>
        </patternFill>
      </fill>
    </dxf>
    <dxf>
      <font>
        <color theme="1"/>
      </font>
      <fill>
        <patternFill>
          <bgColor theme="9" tint="0.59996337778862885"/>
        </patternFill>
      </fill>
    </dxf>
    <dxf>
      <fill>
        <patternFill>
          <bgColor theme="5" tint="0.59996337778862885"/>
        </patternFill>
      </fill>
    </dxf>
    <dxf>
      <font>
        <color theme="0"/>
      </font>
      <fill>
        <patternFill>
          <bgColor theme="9" tint="-0.24994659260841701"/>
        </patternFill>
      </fill>
    </dxf>
    <dxf>
      <font>
        <color theme="0"/>
      </font>
      <fill>
        <patternFill>
          <bgColor rgb="FFC00000"/>
        </patternFill>
      </fill>
    </dxf>
    <dxf>
      <font>
        <color rgb="FF9C5700"/>
      </font>
      <fill>
        <patternFill>
          <bgColor rgb="FFFFEB9C"/>
        </patternFill>
      </fill>
    </dxf>
    <dxf>
      <font>
        <color theme="1"/>
      </font>
      <fill>
        <patternFill>
          <bgColor theme="9" tint="0.59996337778862885"/>
        </patternFill>
      </fill>
    </dxf>
    <dxf>
      <fill>
        <patternFill>
          <bgColor theme="5" tint="0.59996337778862885"/>
        </patternFill>
      </fill>
    </dxf>
    <dxf>
      <font>
        <color theme="0"/>
      </font>
      <fill>
        <patternFill>
          <bgColor theme="9" tint="-0.24994659260841701"/>
        </patternFill>
      </fill>
    </dxf>
    <dxf>
      <font>
        <color theme="0"/>
      </font>
      <fill>
        <patternFill>
          <bgColor rgb="FFC00000"/>
        </patternFill>
      </fill>
    </dxf>
    <dxf>
      <font>
        <color rgb="FF9C5700"/>
      </font>
      <fill>
        <patternFill>
          <bgColor rgb="FFFFEB9C"/>
        </patternFill>
      </fill>
    </dxf>
    <dxf>
      <font>
        <color theme="1"/>
      </font>
      <fill>
        <patternFill>
          <bgColor theme="9" tint="0.59996337778862885"/>
        </patternFill>
      </fill>
    </dxf>
    <dxf>
      <fill>
        <patternFill>
          <bgColor theme="5" tint="0.59996337778862885"/>
        </patternFill>
      </fill>
    </dxf>
    <dxf>
      <font>
        <color theme="0"/>
      </font>
      <fill>
        <patternFill>
          <bgColor theme="9" tint="-0.24994659260841701"/>
        </patternFill>
      </fill>
    </dxf>
    <dxf>
      <font>
        <color theme="0"/>
      </font>
      <fill>
        <patternFill>
          <bgColor rgb="FFC00000"/>
        </patternFill>
      </fill>
    </dxf>
    <dxf>
      <font>
        <color rgb="FF9C5700"/>
      </font>
      <fill>
        <patternFill>
          <bgColor rgb="FFFFEB9C"/>
        </patternFill>
      </fill>
    </dxf>
    <dxf>
      <font>
        <color theme="1"/>
      </font>
      <fill>
        <patternFill>
          <bgColor theme="9" tint="0.59996337778862885"/>
        </patternFill>
      </fill>
    </dxf>
    <dxf>
      <fill>
        <patternFill>
          <bgColor theme="5" tint="0.59996337778862885"/>
        </patternFill>
      </fill>
    </dxf>
    <dxf>
      <font>
        <color theme="0"/>
      </font>
      <fill>
        <patternFill>
          <bgColor theme="9" tint="-0.24994659260841701"/>
        </patternFill>
      </fill>
    </dxf>
    <dxf>
      <font>
        <color theme="0"/>
      </font>
      <fill>
        <patternFill>
          <bgColor rgb="FFC00000"/>
        </patternFill>
      </fill>
    </dxf>
    <dxf>
      <font>
        <color rgb="FF9C5700"/>
      </font>
      <fill>
        <patternFill>
          <bgColor rgb="FFFFEB9C"/>
        </patternFill>
      </fill>
    </dxf>
    <dxf>
      <font>
        <color theme="1"/>
      </font>
      <fill>
        <patternFill>
          <bgColor theme="9" tint="0.59996337778862885"/>
        </patternFill>
      </fill>
    </dxf>
    <dxf>
      <fill>
        <patternFill>
          <bgColor theme="5" tint="0.59996337778862885"/>
        </patternFill>
      </fill>
    </dxf>
    <dxf>
      <font>
        <color rgb="FF9C0006"/>
      </font>
      <fill>
        <patternFill>
          <bgColor rgb="FFFFC7CE"/>
        </patternFill>
      </fill>
    </dxf>
    <dxf>
      <font>
        <color theme="5"/>
      </font>
      <fill>
        <patternFill>
          <bgColor theme="6" tint="0.79998168889431442"/>
        </patternFill>
      </fill>
    </dxf>
    <dxf>
      <font>
        <color rgb="FF9C5700"/>
      </font>
      <fill>
        <patternFill>
          <bgColor rgb="FFFFEB9C"/>
        </patternFill>
      </fill>
    </dxf>
    <dxf>
      <font>
        <color theme="5"/>
      </font>
      <fill>
        <patternFill>
          <bgColor theme="6" tint="0.79998168889431442"/>
        </patternFill>
      </fill>
    </dxf>
    <dxf>
      <font>
        <color theme="5"/>
      </font>
      <fill>
        <patternFill>
          <bgColor theme="6" tint="0.79998168889431442"/>
        </patternFill>
      </fill>
    </dxf>
    <dxf>
      <font>
        <color theme="5"/>
      </font>
      <fill>
        <patternFill>
          <bgColor theme="6" tint="0.79998168889431442"/>
        </patternFill>
      </fill>
    </dxf>
    <dxf>
      <font>
        <color rgb="FF9C5700"/>
      </font>
      <fill>
        <patternFill>
          <bgColor rgb="FFFFEB9C"/>
        </patternFill>
      </fill>
    </dxf>
    <dxf>
      <font>
        <color theme="5"/>
      </font>
      <fill>
        <patternFill>
          <bgColor theme="6" tint="0.79998168889431442"/>
        </patternFill>
      </fill>
    </dxf>
    <dxf>
      <font>
        <color theme="5"/>
      </font>
      <fill>
        <patternFill>
          <bgColor theme="6" tint="0.79998168889431442"/>
        </patternFill>
      </fill>
    </dxf>
    <dxf>
      <font>
        <color theme="5"/>
      </font>
      <fill>
        <patternFill>
          <bgColor theme="2"/>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1" Type="http://schemas.openxmlformats.org/officeDocument/2006/relationships/image" Target="../media/image8.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Observed mass balance:</a:t>
            </a:r>
            <a:r>
              <a:rPr lang="en-US" sz="1200" baseline="0"/>
              <a:t> </a:t>
            </a:r>
            <a:r>
              <a:rPr lang="en-US" sz="1200"/>
              <a:t>Test 1(%)</a:t>
            </a:r>
          </a:p>
        </c:rich>
      </c:tx>
      <c:overlay val="0"/>
      <c:spPr>
        <a:noFill/>
        <a:ln>
          <a:noFill/>
        </a:ln>
        <a:effectLst/>
      </c:spPr>
    </c:title>
    <c:autoTitleDeleted val="0"/>
    <c:plotArea>
      <c:layout/>
      <c:pieChart>
        <c:varyColors val="1"/>
        <c:ser>
          <c:idx val="1"/>
          <c:order val="0"/>
          <c:tx>
            <c:strRef>
              <c:f>GCT!$D$72</c:f>
              <c:strCache>
                <c:ptCount val="1"/>
                <c:pt idx="0">
                  <c:v>Test 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B98-4C38-9DDD-1C7B9BD66E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B98-4C38-9DDD-1C7B9BD66E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B98-4C38-9DDD-1C7B9BD66E1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B98-4C38-9DDD-1C7B9BD66E1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B98-4C38-9DDD-1C7B9BD66E1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B98-4C38-9DDD-1C7B9BD66E1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B98-4C38-9DDD-1C7B9BD66E13}"/>
              </c:ext>
            </c:extLst>
          </c:dPt>
          <c:cat>
            <c:strRef>
              <c:f>GCT!$B$74:$B$80</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GCT!$D$74:$D$80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3-73AE-42BC-8268-6AC1E6689D1F}"/>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showDLblsOverMax val="0"/>
    <c:extLst/>
  </c:chart>
  <c:txPr>
    <a:bodyPr/>
    <a:lstStyle/>
    <a:p>
      <a:pPr>
        <a:defRPr/>
      </a:pPr>
      <a:endParaRPr lang="LID4096"/>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Observed mass balance: Test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tx>
            <c:strRef>
              <c:f>GCT!$G$72</c:f>
              <c:strCache>
                <c:ptCount val="1"/>
                <c:pt idx="0">
                  <c:v>Test 2(%)</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1F-4790-BFB4-9A79DF226C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F1F-4790-BFB4-9A79DF226C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1F-4790-BFB4-9A79DF226CE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F1F-4790-BFB4-9A79DF226CE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F1F-4790-BFB4-9A79DF226CE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F1F-4790-BFB4-9A79DF226CE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F1F-4790-BFB4-9A79DF226CE5}"/>
              </c:ext>
            </c:extLst>
          </c:dPt>
          <c:cat>
            <c:strRef>
              <c:f>GCT!$B$74:$B$80</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GCT!$G$74:$G$80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B98-4533-A181-293CAB3F6E3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0" i="0" u="none" strike="noStrike" baseline="0">
                <a:effectLst/>
              </a:rPr>
              <a:t>Observed mass balance: </a:t>
            </a:r>
            <a:r>
              <a:rPr lang="en-US" sz="1200"/>
              <a:t>Test 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tx>
            <c:strRef>
              <c:f>GCT!$J$72</c:f>
              <c:strCache>
                <c:ptCount val="1"/>
                <c:pt idx="0">
                  <c:v>Test 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B3C-46F6-9183-8012ECE671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B3C-46F6-9183-8012ECE671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B3C-46F6-9183-8012ECE671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B3C-46F6-9183-8012ECE671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B3C-46F6-9183-8012ECE671F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B3C-46F6-9183-8012ECE671F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B3C-46F6-9183-8012ECE671F9}"/>
              </c:ext>
            </c:extLst>
          </c:dPt>
          <c:cat>
            <c:strRef>
              <c:f>GCT!$B$74:$B$80</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GCT!$J$74:$J$80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EE9-480F-99B5-3B0B0F07C71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0" i="0" u="none" strike="noStrike" baseline="0">
                <a:effectLst/>
              </a:rPr>
              <a:t>Observed mass balance</a:t>
            </a:r>
            <a:endParaRPr lang="en-GB"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tx>
            <c:strRef>
              <c:f>GCT!$D$72</c:f>
              <c:strCache>
                <c:ptCount val="1"/>
                <c:pt idx="0">
                  <c:v>Test 1(%)</c:v>
                </c:pt>
              </c:strCache>
            </c:strRef>
          </c:tx>
          <c:spPr>
            <a:solidFill>
              <a:schemeClr val="accent1"/>
            </a:solidFill>
            <a:ln>
              <a:noFill/>
            </a:ln>
            <a:effectLst/>
          </c:spPr>
          <c:invertIfNegative val="0"/>
          <c:cat>
            <c:strRef>
              <c:f>GCT!$B$74:$B$80</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GCT!$D$74:$D$80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C8D-418E-9C56-0E7370C94E72}"/>
            </c:ext>
          </c:extLst>
        </c:ser>
        <c:ser>
          <c:idx val="1"/>
          <c:order val="1"/>
          <c:tx>
            <c:strRef>
              <c:f>GCT!$G$72</c:f>
              <c:strCache>
                <c:ptCount val="1"/>
                <c:pt idx="0">
                  <c:v>Test 2(%)</c:v>
                </c:pt>
              </c:strCache>
            </c:strRef>
          </c:tx>
          <c:spPr>
            <a:solidFill>
              <a:schemeClr val="accent2"/>
            </a:solidFill>
            <a:ln>
              <a:noFill/>
            </a:ln>
            <a:effectLst/>
          </c:spPr>
          <c:invertIfNegative val="0"/>
          <c:cat>
            <c:strRef>
              <c:f>GCT!$B$74:$B$80</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GCT!$G$74:$G$80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2C8D-418E-9C56-0E7370C94E72}"/>
            </c:ext>
          </c:extLst>
        </c:ser>
        <c:ser>
          <c:idx val="2"/>
          <c:order val="2"/>
          <c:tx>
            <c:strRef>
              <c:f>GCT!$J$72</c:f>
              <c:strCache>
                <c:ptCount val="1"/>
                <c:pt idx="0">
                  <c:v>Test 3(%)</c:v>
                </c:pt>
              </c:strCache>
            </c:strRef>
          </c:tx>
          <c:spPr>
            <a:solidFill>
              <a:schemeClr val="accent3"/>
            </a:solidFill>
            <a:ln>
              <a:noFill/>
            </a:ln>
            <a:effectLst/>
          </c:spPr>
          <c:invertIfNegative val="0"/>
          <c:cat>
            <c:strRef>
              <c:f>GCT!$B$74:$B$80</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GCT!$J$74:$J$80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2C8D-418E-9C56-0E7370C94E72}"/>
            </c:ext>
          </c:extLst>
        </c:ser>
        <c:dLbls>
          <c:showLegendKey val="0"/>
          <c:showVal val="0"/>
          <c:showCatName val="0"/>
          <c:showSerName val="0"/>
          <c:showPercent val="0"/>
          <c:showBubbleSize val="0"/>
        </c:dLbls>
        <c:gapWidth val="219"/>
        <c:overlap val="-27"/>
        <c:axId val="1613992896"/>
        <c:axId val="1613994144"/>
      </c:barChart>
      <c:catAx>
        <c:axId val="161399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613994144"/>
        <c:crosses val="autoZero"/>
        <c:auto val="1"/>
        <c:lblAlgn val="ctr"/>
        <c:lblOffset val="100"/>
        <c:noMultiLvlLbl val="0"/>
      </c:catAx>
      <c:valAx>
        <c:axId val="161399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613992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Normalized</a:t>
            </a:r>
            <a:r>
              <a:rPr lang="en-GB" sz="1200"/>
              <a:t> observed mass balance:</a:t>
            </a:r>
            <a:r>
              <a:rPr lang="en-GB" sz="1200" baseline="0"/>
              <a:t> Test 1(%)</a:t>
            </a:r>
            <a:endParaRPr lang="en-GB"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F4-4508-800B-A31271482E8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F4-4508-800B-A31271482E8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F4-4508-800B-A31271482E8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F4-4508-800B-A31271482E8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CF4-4508-800B-A31271482E8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CF4-4508-800B-A31271482E8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CF4-4508-800B-A31271482E82}"/>
              </c:ext>
            </c:extLst>
          </c:dPt>
          <c:cat>
            <c:strRef>
              <c:f>GCT!$B$87:$B$93</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GCT!$D$87:$D$93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CD5-4BAD-987E-903F88D6D684}"/>
            </c:ext>
          </c:extLst>
        </c:ser>
        <c:ser>
          <c:idx val="1"/>
          <c:order val="1"/>
          <c:tx>
            <c:strRef>
              <c:f>GCT!$B$84</c:f>
              <c:strCache>
                <c:ptCount val="1"/>
                <c:pt idx="0">
                  <c:v>Normalized observed mass balance Result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F-5CF4-4508-800B-A31271482E82}"/>
              </c:ext>
            </c:extLst>
          </c:dPt>
          <c:cat>
            <c:strRef>
              <c:f>GCT!$B$87:$B$93</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Lit>
              <c:formatCode>General</c:formatCode>
              <c:ptCount val="1"/>
              <c:pt idx="0">
                <c:v>1</c:v>
              </c:pt>
            </c:numLit>
          </c:val>
          <c:extLst>
            <c:ext xmlns:c16="http://schemas.microsoft.com/office/drawing/2014/chart" uri="{C3380CC4-5D6E-409C-BE32-E72D297353CC}">
              <c16:uniqueId val="{00000002-8CD5-4BAD-987E-903F88D6D68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i="0" baseline="0">
                <a:effectLst/>
              </a:rPr>
              <a:t>Normalized</a:t>
            </a:r>
            <a:r>
              <a:rPr lang="en-GB" sz="1200" b="0" i="0" baseline="0">
                <a:effectLst/>
              </a:rPr>
              <a:t> observed mass balance: Test 2(%)</a:t>
            </a:r>
            <a:endParaRPr lang="en-NL"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3A-4AAE-9224-76C45A4FF9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3A-4AAE-9224-76C45A4FF9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3A-4AAE-9224-76C45A4FF9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D3A-4AAE-9224-76C45A4FF96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D3A-4AAE-9224-76C45A4FF96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D3A-4AAE-9224-76C45A4FF96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D3A-4AAE-9224-76C45A4FF964}"/>
              </c:ext>
            </c:extLst>
          </c:dPt>
          <c:cat>
            <c:strRef>
              <c:f>GCT!$B$87:$B$93</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GCT!$G$87:$G$93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9D0-4704-A9A3-D4004B8A1D1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200" b="1" i="0" baseline="0">
                <a:effectLst/>
              </a:rPr>
              <a:t>Normalized</a:t>
            </a:r>
            <a:r>
              <a:rPr lang="en-GB" sz="1200" b="0" i="0" baseline="0">
                <a:effectLst/>
              </a:rPr>
              <a:t> observed mass balance: Test 3(%)</a:t>
            </a:r>
            <a:endParaRPr lang="en-NL" sz="105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LID4096"/>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BE6-46C4-A420-28E8EDEAA7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BE6-46C4-A420-28E8EDEAA7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BE6-46C4-A420-28E8EDEAA7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BE6-46C4-A420-28E8EDEAA7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BE6-46C4-A420-28E8EDEAA7E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BE6-46C4-A420-28E8EDEAA7E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BE6-46C4-A420-28E8EDEAA7EB}"/>
              </c:ext>
            </c:extLst>
          </c:dPt>
          <c:cat>
            <c:strRef>
              <c:f>GCT!$B$87:$B$93</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GCT!$J$87:$J$93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0D6-401B-9D85-591FFDDAF7C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i="0" u="none" strike="noStrike" baseline="0">
                <a:effectLst/>
              </a:rPr>
              <a:t>Normalized</a:t>
            </a:r>
            <a:r>
              <a:rPr lang="en-GB" sz="1200" b="0" i="0" u="none" strike="noStrike" baseline="0">
                <a:effectLst/>
              </a:rPr>
              <a:t> observed mass balance</a:t>
            </a:r>
            <a:endParaRPr lang="en-GB"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spPr>
            <a:solidFill>
              <a:schemeClr val="accent1"/>
            </a:solidFill>
            <a:ln>
              <a:noFill/>
            </a:ln>
            <a:effectLst/>
          </c:spPr>
          <c:invertIfNegative val="0"/>
          <c:cat>
            <c:strRef>
              <c:f>GCT!$B$87:$B$93</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GCT!$D$87:$D$93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425-41A2-B0B4-841CF4B4E6E7}"/>
            </c:ext>
          </c:extLst>
        </c:ser>
        <c:ser>
          <c:idx val="1"/>
          <c:order val="1"/>
          <c:spPr>
            <a:solidFill>
              <a:schemeClr val="accent2"/>
            </a:solidFill>
            <a:ln>
              <a:noFill/>
            </a:ln>
            <a:effectLst/>
          </c:spPr>
          <c:invertIfNegative val="0"/>
          <c:cat>
            <c:strRef>
              <c:f>GCT!$B$87:$B$93</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GCT!$G$87:$G$93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D425-41A2-B0B4-841CF4B4E6E7}"/>
            </c:ext>
          </c:extLst>
        </c:ser>
        <c:ser>
          <c:idx val="2"/>
          <c:order val="2"/>
          <c:spPr>
            <a:solidFill>
              <a:schemeClr val="accent3"/>
            </a:solidFill>
            <a:ln>
              <a:noFill/>
            </a:ln>
            <a:effectLst/>
          </c:spPr>
          <c:invertIfNegative val="0"/>
          <c:cat>
            <c:strRef>
              <c:f>GCT!$B$87:$B$93</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GCT!$J$87:$J$93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D425-41A2-B0B4-841CF4B4E6E7}"/>
            </c:ext>
          </c:extLst>
        </c:ser>
        <c:dLbls>
          <c:showLegendKey val="0"/>
          <c:showVal val="0"/>
          <c:showCatName val="0"/>
          <c:showSerName val="0"/>
          <c:showPercent val="0"/>
          <c:showBubbleSize val="0"/>
        </c:dLbls>
        <c:gapWidth val="219"/>
        <c:overlap val="-27"/>
        <c:axId val="1864966752"/>
        <c:axId val="1864967168"/>
      </c:barChart>
      <c:catAx>
        <c:axId val="186496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864967168"/>
        <c:crosses val="autoZero"/>
        <c:auto val="1"/>
        <c:lblAlgn val="ctr"/>
        <c:lblOffset val="100"/>
        <c:noMultiLvlLbl val="0"/>
      </c:catAx>
      <c:valAx>
        <c:axId val="18649671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864966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Total mass balance method: Test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27A-4A4E-9D01-DBE7B05D6F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27A-4A4E-9D01-DBE7B05D6F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27A-4A4E-9D01-DBE7B05D6F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27A-4A4E-9D01-DBE7B05D6F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27A-4A4E-9D01-DBE7B05D6F1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27A-4A4E-9D01-DBE7B05D6F1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27A-4A4E-9D01-DBE7B05D6F12}"/>
              </c:ext>
            </c:extLst>
          </c:dPt>
          <c:cat>
            <c:strRef>
              <c:f>GCT!$B$118:$B$124</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GCT!$D$118:$D$124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B38-418B-B68C-69B46FAB51A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0" i="0" baseline="0">
                <a:effectLst/>
              </a:rPr>
              <a:t>Total mass balance method: Test 2(%)</a:t>
            </a:r>
            <a:endParaRPr lang="en-NL"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45E-4902-B1F7-91B863DCBEE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45E-4902-B1F7-91B863DCBEE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45E-4902-B1F7-91B863DCBEE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45E-4902-B1F7-91B863DCBEE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45E-4902-B1F7-91B863DCBEE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45E-4902-B1F7-91B863DCBEE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45E-4902-B1F7-91B863DCBEEA}"/>
              </c:ext>
            </c:extLst>
          </c:dPt>
          <c:cat>
            <c:strRef>
              <c:f>GCT!$B$118:$B$124</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GCT!$G$118:$G$124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8CA-40F8-9CCF-832A1AE73DA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0" i="0" baseline="0">
                <a:effectLst/>
              </a:rPr>
              <a:t>Total mass balance method: Test 3(%)</a:t>
            </a:r>
            <a:endParaRPr lang="en-NL"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D8-4A15-A5E9-643B31EC00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8D8-4A15-A5E9-643B31EC004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8D8-4A15-A5E9-643B31EC004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8D8-4A15-A5E9-643B31EC004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8D8-4A15-A5E9-643B31EC004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8D8-4A15-A5E9-643B31EC004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8D8-4A15-A5E9-643B31EC0042}"/>
              </c:ext>
            </c:extLst>
          </c:dPt>
          <c:cat>
            <c:strRef>
              <c:f>GCT!$B$118:$B$124</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GCT!$J$118:$J$124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BEC-4BE0-A123-8DB5E1CD41B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0" i="0" baseline="0">
                <a:effectLst/>
              </a:rPr>
              <a:t>Total mass balance method</a:t>
            </a:r>
            <a:endParaRPr lang="en-NL"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spPr>
            <a:solidFill>
              <a:schemeClr val="accent1"/>
            </a:solidFill>
            <a:ln>
              <a:noFill/>
            </a:ln>
            <a:effectLst/>
          </c:spPr>
          <c:invertIfNegative val="0"/>
          <c:cat>
            <c:strRef>
              <c:f>GCT!$B$118:$B$124</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GCT!$D$118:$D$124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F0-42B3-857D-C7DE545D66AF}"/>
            </c:ext>
          </c:extLst>
        </c:ser>
        <c:ser>
          <c:idx val="1"/>
          <c:order val="1"/>
          <c:spPr>
            <a:solidFill>
              <a:schemeClr val="accent2"/>
            </a:solidFill>
            <a:ln>
              <a:noFill/>
            </a:ln>
            <a:effectLst/>
          </c:spPr>
          <c:invertIfNegative val="0"/>
          <c:cat>
            <c:strRef>
              <c:f>GCT!$B$118:$B$124</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GCT!$G$118:$G$124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F7F0-42B3-857D-C7DE545D66AF}"/>
            </c:ext>
          </c:extLst>
        </c:ser>
        <c:ser>
          <c:idx val="2"/>
          <c:order val="2"/>
          <c:spPr>
            <a:solidFill>
              <a:schemeClr val="accent3"/>
            </a:solidFill>
            <a:ln>
              <a:noFill/>
            </a:ln>
            <a:effectLst/>
          </c:spPr>
          <c:invertIfNegative val="0"/>
          <c:cat>
            <c:strRef>
              <c:f>GCT!$B$118:$B$124</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GCT!$J$118:$J$124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F7F0-42B3-857D-C7DE545D66AF}"/>
            </c:ext>
          </c:extLst>
        </c:ser>
        <c:dLbls>
          <c:showLegendKey val="0"/>
          <c:showVal val="0"/>
          <c:showCatName val="0"/>
          <c:showSerName val="0"/>
          <c:showPercent val="0"/>
          <c:showBubbleSize val="0"/>
        </c:dLbls>
        <c:gapWidth val="219"/>
        <c:overlap val="-27"/>
        <c:axId val="1864276864"/>
        <c:axId val="1864269792"/>
      </c:barChart>
      <c:catAx>
        <c:axId val="186427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864269792"/>
        <c:crosses val="autoZero"/>
        <c:auto val="1"/>
        <c:lblAlgn val="ctr"/>
        <c:lblOffset val="100"/>
        <c:noMultiLvlLbl val="0"/>
      </c:catAx>
      <c:valAx>
        <c:axId val="1864269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864276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Energy balance: Test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408-4C83-BB8A-E1E6C7001D2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408-4C83-BB8A-E1E6C7001D2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408-4C83-BB8A-E1E6C7001D2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408-4C83-BB8A-E1E6C7001D2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408-4C83-BB8A-E1E6C7001D2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408-4C83-BB8A-E1E6C7001D2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408-4C83-BB8A-E1E6C7001D29}"/>
              </c:ext>
            </c:extLst>
          </c:dPt>
          <c:cat>
            <c:strRef>
              <c:f>GCT!$B$145:$B$151</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GCT!$D$145:$D$151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B2F-4790-BB5F-18C49D29D1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0" i="0" baseline="0">
                <a:effectLst/>
              </a:rPr>
              <a:t>Energy balance: Test 2(%)</a:t>
            </a:r>
            <a:endParaRPr lang="en-NL"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7C-4985-8B96-F10C905E0B9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7C-4985-8B96-F10C905E0B9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B7C-4985-8B96-F10C905E0B9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7C-4985-8B96-F10C905E0B9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7C-4985-8B96-F10C905E0B9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B7C-4985-8B96-F10C905E0B9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B7C-4985-8B96-F10C905E0B99}"/>
              </c:ext>
            </c:extLst>
          </c:dPt>
          <c:cat>
            <c:strRef>
              <c:f>GCT!$B$145:$B$151</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GCT!$G$145:$G$151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EC3-4ADC-908D-DBDEB0AA3C8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0" i="0" baseline="0">
                <a:effectLst/>
              </a:rPr>
              <a:t>Energy balance: Test 3(%)</a:t>
            </a:r>
            <a:endParaRPr lang="en-NL"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27E-4BFA-923C-60B035B6DB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27E-4BFA-923C-60B035B6DB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27E-4BFA-923C-60B035B6DB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27E-4BFA-923C-60B035B6DB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27E-4BFA-923C-60B035B6DB1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27E-4BFA-923C-60B035B6DB1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27E-4BFA-923C-60B035B6DB12}"/>
              </c:ext>
            </c:extLst>
          </c:dPt>
          <c:cat>
            <c:strRef>
              <c:f>GCT!$B$145:$B$151</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GCT!$J$145:$J$151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D9A-424E-BC01-8DA665B5E1C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0" i="0" baseline="0">
                <a:effectLst/>
              </a:rPr>
              <a:t>Energy balance</a:t>
            </a:r>
            <a:endParaRPr lang="en-NL"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spPr>
            <a:solidFill>
              <a:schemeClr val="accent1"/>
            </a:solidFill>
            <a:ln>
              <a:noFill/>
            </a:ln>
            <a:effectLst/>
          </c:spPr>
          <c:invertIfNegative val="0"/>
          <c:cat>
            <c:strRef>
              <c:f>GCT!$B$145:$B$151</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GCT!$D$145:$D$151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08C-4ADF-8E9E-8B84EB4EA381}"/>
            </c:ext>
          </c:extLst>
        </c:ser>
        <c:ser>
          <c:idx val="1"/>
          <c:order val="1"/>
          <c:spPr>
            <a:solidFill>
              <a:schemeClr val="accent2"/>
            </a:solidFill>
            <a:ln>
              <a:noFill/>
            </a:ln>
            <a:effectLst/>
          </c:spPr>
          <c:invertIfNegative val="0"/>
          <c:cat>
            <c:strRef>
              <c:f>GCT!$B$145:$B$151</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GCT!$G$145:$G$151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908C-4ADF-8E9E-8B84EB4EA381}"/>
            </c:ext>
          </c:extLst>
        </c:ser>
        <c:ser>
          <c:idx val="2"/>
          <c:order val="2"/>
          <c:spPr>
            <a:solidFill>
              <a:schemeClr val="accent3"/>
            </a:solidFill>
            <a:ln>
              <a:noFill/>
            </a:ln>
            <a:effectLst/>
          </c:spPr>
          <c:invertIfNegative val="0"/>
          <c:cat>
            <c:strRef>
              <c:f>GCT!$B$145:$B$151</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GCT!$J$145:$J$151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908C-4ADF-8E9E-8B84EB4EA381}"/>
            </c:ext>
          </c:extLst>
        </c:ser>
        <c:dLbls>
          <c:showLegendKey val="0"/>
          <c:showVal val="0"/>
          <c:showCatName val="0"/>
          <c:showSerName val="0"/>
          <c:showPercent val="0"/>
          <c:showBubbleSize val="0"/>
        </c:dLbls>
        <c:gapWidth val="219"/>
        <c:overlap val="-27"/>
        <c:axId val="1863192480"/>
        <c:axId val="1863197888"/>
      </c:barChart>
      <c:catAx>
        <c:axId val="1863192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863197888"/>
        <c:crosses val="autoZero"/>
        <c:auto val="1"/>
        <c:lblAlgn val="ctr"/>
        <c:lblOffset val="100"/>
        <c:noMultiLvlLbl val="0"/>
      </c:catAx>
      <c:valAx>
        <c:axId val="18631978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863192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Carbon mass balance: Test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9D2-4CB5-A65D-B0D9F1036B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9D2-4CB5-A65D-B0D9F1036B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9D2-4CB5-A65D-B0D9F1036B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9D2-4CB5-A65D-B0D9F1036B7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9D2-4CB5-A65D-B0D9F1036B7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9D2-4CB5-A65D-B0D9F1036B7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9D2-4CB5-A65D-B0D9F1036B7B}"/>
              </c:ext>
            </c:extLst>
          </c:dPt>
          <c:cat>
            <c:strRef>
              <c:f>GCT!$B$172:$B$178</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GCT!$D$172:$D$178</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DDA-44D7-B555-7A041A35FE2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0" i="0" baseline="0">
                <a:effectLst/>
              </a:rPr>
              <a:t>Carbon mass balance: Test 2(%)</a:t>
            </a:r>
            <a:endParaRPr lang="en-NL"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3AA-4861-B5C5-162880C39C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3AA-4861-B5C5-162880C39C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3AA-4861-B5C5-162880C39C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3AA-4861-B5C5-162880C39C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3AA-4861-B5C5-162880C39C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3AA-4861-B5C5-162880C39C6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3AA-4861-B5C5-162880C39C69}"/>
              </c:ext>
            </c:extLst>
          </c:dPt>
          <c:cat>
            <c:strRef>
              <c:f>GCT!$B$172:$B$178</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GCT!$G$172:$G$178</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265-4178-9C4F-D7B72E22CDD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0" i="0" baseline="0">
                <a:effectLst/>
              </a:rPr>
              <a:t>Carbon mass balance: Test 3(%)</a:t>
            </a:r>
            <a:endParaRPr lang="en-NL"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E25-42B6-AA96-FE1F2DB9C1A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E25-42B6-AA96-FE1F2DB9C1A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E25-42B6-AA96-FE1F2DB9C1A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E25-42B6-AA96-FE1F2DB9C1A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E25-42B6-AA96-FE1F2DB9C1A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E25-42B6-AA96-FE1F2DB9C1A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E25-42B6-AA96-FE1F2DB9C1AA}"/>
              </c:ext>
            </c:extLst>
          </c:dPt>
          <c:cat>
            <c:strRef>
              <c:f>GCT!$B$172:$B$178</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GCT!$J$172:$J$178</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E73-483A-8263-13038DC6E3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Carbon mass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spPr>
            <a:solidFill>
              <a:schemeClr val="accent1"/>
            </a:solidFill>
            <a:ln>
              <a:noFill/>
            </a:ln>
            <a:effectLst/>
          </c:spPr>
          <c:invertIfNegative val="0"/>
          <c:cat>
            <c:strRef>
              <c:f>GCT!$B$172:$B$178</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GCT!$D$172:$D$178</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AB1-4D4B-97C9-B78D6723E5B9}"/>
            </c:ext>
          </c:extLst>
        </c:ser>
        <c:ser>
          <c:idx val="1"/>
          <c:order val="1"/>
          <c:spPr>
            <a:solidFill>
              <a:schemeClr val="accent2"/>
            </a:solidFill>
            <a:ln>
              <a:noFill/>
            </a:ln>
            <a:effectLst/>
          </c:spPr>
          <c:invertIfNegative val="0"/>
          <c:cat>
            <c:strRef>
              <c:f>GCT!$B$172:$B$178</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GCT!$G$172:$G$178</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AAB1-4D4B-97C9-B78D6723E5B9}"/>
            </c:ext>
          </c:extLst>
        </c:ser>
        <c:ser>
          <c:idx val="2"/>
          <c:order val="2"/>
          <c:tx>
            <c:strRef>
              <c:f>GCT!$J$172:$J$173</c:f>
              <c:strCache>
                <c:ptCount val="2"/>
                <c:pt idx="0">
                  <c:v>#DIV/0!</c:v>
                </c:pt>
                <c:pt idx="1">
                  <c:v>#DIV/0!</c:v>
                </c:pt>
              </c:strCache>
            </c:strRef>
          </c:tx>
          <c:spPr>
            <a:solidFill>
              <a:schemeClr val="accent3"/>
            </a:solidFill>
            <a:ln>
              <a:noFill/>
            </a:ln>
            <a:effectLst/>
          </c:spPr>
          <c:invertIfNegative val="0"/>
          <c:cat>
            <c:strRef>
              <c:f>GCT!$B$172:$B$178</c:f>
              <c:strCache>
                <c:ptCount val="7"/>
                <c:pt idx="0">
                  <c:v>Refinery product 1 (main)</c:v>
                </c:pt>
                <c:pt idx="1">
                  <c:v>Refinery product 2</c:v>
                </c:pt>
                <c:pt idx="2">
                  <c:v>Refinery product 3</c:v>
                </c:pt>
                <c:pt idx="3">
                  <c:v>Refinery product 4</c:v>
                </c:pt>
                <c:pt idx="4">
                  <c:v>Refinery product 5</c:v>
                </c:pt>
                <c:pt idx="5">
                  <c:v>Refinery product 6</c:v>
                </c:pt>
                <c:pt idx="6">
                  <c:v>Refinery product 7</c:v>
                </c:pt>
              </c:strCache>
            </c:strRef>
          </c:cat>
          <c:val>
            <c:numRef>
              <c:f>GCT!$J$172:$J$178</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AAB1-4D4B-97C9-B78D6723E5B9}"/>
            </c:ext>
          </c:extLst>
        </c:ser>
        <c:dLbls>
          <c:showLegendKey val="0"/>
          <c:showVal val="0"/>
          <c:showCatName val="0"/>
          <c:showSerName val="0"/>
          <c:showPercent val="0"/>
          <c:showBubbleSize val="0"/>
        </c:dLbls>
        <c:gapWidth val="219"/>
        <c:overlap val="-27"/>
        <c:axId val="342487104"/>
        <c:axId val="342464224"/>
      </c:barChart>
      <c:catAx>
        <c:axId val="34248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342464224"/>
        <c:crosses val="autoZero"/>
        <c:auto val="1"/>
        <c:lblAlgn val="ctr"/>
        <c:lblOffset val="100"/>
        <c:noMultiLvlLbl val="0"/>
      </c:catAx>
      <c:valAx>
        <c:axId val="3424642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342487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Carbon intense ( tCO2eq/tproduct)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spPr>
            <a:solidFill>
              <a:schemeClr val="accent1"/>
            </a:solidFill>
            <a:ln>
              <a:noFill/>
            </a:ln>
            <a:effectLst/>
          </c:spPr>
          <c:invertIfNegative val="0"/>
          <c:cat>
            <c:strRef>
              <c:f>(GHG!$E$60,GHG!$H$60,GHG!$K$60)</c:f>
              <c:strCache>
                <c:ptCount val="3"/>
                <c:pt idx="0">
                  <c:v>Select</c:v>
                </c:pt>
                <c:pt idx="1">
                  <c:v>Upgrading </c:v>
                </c:pt>
                <c:pt idx="2">
                  <c:v>Refinery</c:v>
                </c:pt>
              </c:strCache>
            </c:strRef>
          </c:cat>
          <c:val>
            <c:numRef>
              <c:f>(GHG!$E$86,GHG!$H$86,GHG!$K$86)</c:f>
              <c:numCache>
                <c:formatCode>0.00E+00</c:formatCode>
                <c:ptCount val="3"/>
                <c:pt idx="0">
                  <c:v>0</c:v>
                </c:pt>
                <c:pt idx="1">
                  <c:v>0</c:v>
                </c:pt>
                <c:pt idx="2">
                  <c:v>0</c:v>
                </c:pt>
              </c:numCache>
            </c:numRef>
          </c:val>
          <c:extLst>
            <c:ext xmlns:c16="http://schemas.microsoft.com/office/drawing/2014/chart" uri="{C3380CC4-5D6E-409C-BE32-E72D297353CC}">
              <c16:uniqueId val="{00000000-7E38-49B8-8481-3C1F9E6E7896}"/>
            </c:ext>
          </c:extLst>
        </c:ser>
        <c:dLbls>
          <c:showLegendKey val="0"/>
          <c:showVal val="0"/>
          <c:showCatName val="0"/>
          <c:showSerName val="0"/>
          <c:showPercent val="0"/>
          <c:showBubbleSize val="0"/>
        </c:dLbls>
        <c:gapWidth val="219"/>
        <c:overlap val="-27"/>
        <c:axId val="1544321071"/>
        <c:axId val="1544305679"/>
      </c:barChart>
      <c:catAx>
        <c:axId val="1544321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44305679"/>
        <c:crosses val="autoZero"/>
        <c:auto val="1"/>
        <c:lblAlgn val="ctr"/>
        <c:lblOffset val="100"/>
        <c:noMultiLvlLbl val="0"/>
      </c:catAx>
      <c:valAx>
        <c:axId val="1544305679"/>
        <c:scaling>
          <c:orientation val="minMax"/>
        </c:scaling>
        <c:delete val="0"/>
        <c:axPos val="l"/>
        <c:majorGridlines>
          <c:spPr>
            <a:ln w="9525" cap="flat" cmpd="sng" algn="ctr">
              <a:solidFill>
                <a:schemeClr val="tx1">
                  <a:lumMod val="15000"/>
                  <a:lumOff val="85000"/>
                </a:schemeClr>
              </a:solidFill>
              <a:round/>
            </a:ln>
            <a:effectLst/>
          </c:spPr>
        </c:majorGridlines>
        <c:numFmt formatCode="0.00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443210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FP/HTL</a:t>
            </a:r>
            <a:r>
              <a:rPr lang="en-US" baseline="0"/>
              <a:t> </a:t>
            </a:r>
            <a:r>
              <a:rPr lang="en-US"/>
              <a:t>Greenhouse Emission </a:t>
            </a:r>
          </a:p>
        </c:rich>
      </c:tx>
      <c:overlay val="0"/>
      <c:spPr>
        <a:solidFill>
          <a:schemeClr val="accent4">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tx>
            <c:strRef>
              <c:f>GHG!$B$59</c:f>
              <c:strCache>
                <c:ptCount val="1"/>
                <c:pt idx="0">
                  <c:v>Greenhouse Emission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65D-4120-A048-C5C4F5C82F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65D-4120-A048-C5C4F5C82F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65D-4120-A048-C5C4F5C82F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65D-4120-A048-C5C4F5C82F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65D-4120-A048-C5C4F5C82FA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65D-4120-A048-C5C4F5C82FA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65D-4120-A048-C5C4F5C82FA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65D-4120-A048-C5C4F5C82FA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65D-4120-A048-C5C4F5C82FA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65D-4120-A048-C5C4F5C82FA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65D-4120-A048-C5C4F5C82FA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65D-4120-A048-C5C4F5C82FA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65D-4120-A048-C5C4F5C82FA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965D-4120-A048-C5C4F5C82FA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965D-4120-A048-C5C4F5C82FA7}"/>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965D-4120-A048-C5C4F5C82FA7}"/>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965D-4120-A048-C5C4F5C82FA7}"/>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965D-4120-A048-C5C4F5C82FA7}"/>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9736-4A61-B013-4EEE15F77F27}"/>
              </c:ext>
            </c:extLst>
          </c:dPt>
          <c:cat>
            <c:strRef>
              <c:f>(GHG!$C$63:$C$73,GHG!$C$75:$C$78,GHG!$C$80:$C$83)</c:f>
              <c:strCache>
                <c:ptCount val="19"/>
                <c:pt idx="0">
                  <c:v>Feedstock 1 (biogenic feedstock)</c:v>
                </c:pt>
                <c:pt idx="1">
                  <c:v>Feedstock 2</c:v>
                </c:pt>
                <c:pt idx="2">
                  <c:v>Feedstock 3</c:v>
                </c:pt>
                <c:pt idx="3">
                  <c:v>Feedstock 4</c:v>
                </c:pt>
                <c:pt idx="4">
                  <c:v>Nitrogen</c:v>
                </c:pt>
                <c:pt idx="5">
                  <c:v>Hydrogen</c:v>
                </c:pt>
                <c:pt idx="6">
                  <c:v>Sulfiding agent</c:v>
                </c:pt>
                <c:pt idx="7">
                  <c:v>Catalyst for stabilization reactor</c:v>
                </c:pt>
                <c:pt idx="8">
                  <c:v>Catalyst for deoxygenation reactor</c:v>
                </c:pt>
                <c:pt idx="9">
                  <c:v>IX resin</c:v>
                </c:pt>
                <c:pt idx="10">
                  <c:v>Gasoline</c:v>
                </c:pt>
                <c:pt idx="11">
                  <c:v>Fresh water</c:v>
                </c:pt>
                <c:pt idx="12">
                  <c:v>cooling water</c:v>
                </c:pt>
                <c:pt idx="13">
                  <c:v>Steam</c:v>
                </c:pt>
                <c:pt idx="14">
                  <c:v>Electricity </c:v>
                </c:pt>
                <c:pt idx="15">
                  <c:v>Distance 1 (road)</c:v>
                </c:pt>
                <c:pt idx="16">
                  <c:v>Distance 2 (train)</c:v>
                </c:pt>
                <c:pt idx="17">
                  <c:v>Distance 3 (ship)</c:v>
                </c:pt>
                <c:pt idx="18">
                  <c:v>Distance 4 (plane)</c:v>
                </c:pt>
              </c:strCache>
            </c:strRef>
          </c:cat>
          <c:val>
            <c:numRef>
              <c:f>(GHG!$E$63:$E$73,GHG!$E$75:$E$78,GHG!$E$80:$E$83)</c:f>
              <c:numCache>
                <c:formatCode>0.00</c:formatCode>
                <c:ptCount val="19"/>
                <c:pt idx="0">
                  <c:v>0</c:v>
                </c:pt>
                <c:pt idx="1">
                  <c:v>0</c:v>
                </c:pt>
                <c:pt idx="2">
                  <c:v>0</c:v>
                </c:pt>
                <c:pt idx="3">
                  <c:v>0</c:v>
                </c:pt>
                <c:pt idx="4">
                  <c:v>0</c:v>
                </c:pt>
                <c:pt idx="5">
                  <c:v>0</c:v>
                </c:pt>
                <c:pt idx="6">
                  <c:v>0</c:v>
                </c:pt>
                <c:pt idx="7">
                  <c:v>0</c:v>
                </c:pt>
                <c:pt idx="8">
                  <c:v>0</c:v>
                </c:pt>
                <c:pt idx="9">
                  <c:v>0</c:v>
                </c:pt>
                <c:pt idx="10" formatCode="General">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BD78-4554-87F6-CFDE1305266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Upgrading Greenhouse Emission </a:t>
            </a:r>
          </a:p>
        </c:rich>
      </c:tx>
      <c:overlay val="0"/>
      <c:spPr>
        <a:solidFill>
          <a:schemeClr val="accent5">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tx>
            <c:strRef>
              <c:f>GHG!$B$59</c:f>
              <c:strCache>
                <c:ptCount val="1"/>
                <c:pt idx="0">
                  <c:v>Greenhouse Emission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86-4617-8739-1187989045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86-4617-8739-1187989045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86-4617-8739-1187989045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186-4617-8739-1187989045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186-4617-8739-11879890451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186-4617-8739-11879890451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186-4617-8739-11879890451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186-4617-8739-11879890451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186-4617-8739-11879890451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186-4617-8739-11879890451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186-4617-8739-11879890451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186-4617-8739-11879890451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C186-4617-8739-11879890451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C186-4617-8739-11879890451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C186-4617-8739-11879890451A}"/>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C186-4617-8739-11879890451A}"/>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C186-4617-8739-11879890451A}"/>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7607-4E9C-96D5-570CB7384BD0}"/>
              </c:ext>
            </c:extLst>
          </c:dPt>
          <c:cat>
            <c:strRef>
              <c:f>(GHG!$C$63:$C$72,GHG!$C$75:$C$78,GHG!$C$80:$C$83)</c:f>
              <c:strCache>
                <c:ptCount val="18"/>
                <c:pt idx="0">
                  <c:v>Feedstock 1 (biogenic feedstock)</c:v>
                </c:pt>
                <c:pt idx="1">
                  <c:v>Feedstock 2</c:v>
                </c:pt>
                <c:pt idx="2">
                  <c:v>Feedstock 3</c:v>
                </c:pt>
                <c:pt idx="3">
                  <c:v>Feedstock 4</c:v>
                </c:pt>
                <c:pt idx="4">
                  <c:v>Nitrogen</c:v>
                </c:pt>
                <c:pt idx="5">
                  <c:v>Hydrogen</c:v>
                </c:pt>
                <c:pt idx="6">
                  <c:v>Sulfiding agent</c:v>
                </c:pt>
                <c:pt idx="7">
                  <c:v>Catalyst for stabilization reactor</c:v>
                </c:pt>
                <c:pt idx="8">
                  <c:v>Catalyst for deoxygenation reactor</c:v>
                </c:pt>
                <c:pt idx="9">
                  <c:v>IX resin</c:v>
                </c:pt>
                <c:pt idx="10">
                  <c:v>Fresh water</c:v>
                </c:pt>
                <c:pt idx="11">
                  <c:v>cooling water</c:v>
                </c:pt>
                <c:pt idx="12">
                  <c:v>Steam</c:v>
                </c:pt>
                <c:pt idx="13">
                  <c:v>Electricity </c:v>
                </c:pt>
                <c:pt idx="14">
                  <c:v>Distance 1 (road)</c:v>
                </c:pt>
                <c:pt idx="15">
                  <c:v>Distance 2 (train)</c:v>
                </c:pt>
                <c:pt idx="16">
                  <c:v>Distance 3 (ship)</c:v>
                </c:pt>
                <c:pt idx="17">
                  <c:v>Distance 4 (plane)</c:v>
                </c:pt>
              </c:strCache>
            </c:strRef>
          </c:cat>
          <c:val>
            <c:numRef>
              <c:f>(GHG!$H$63:$H$72,GHG!$H$75:$H$78,GHG!$H$80:$H$83)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63A2-4D5F-B0E1-78722CF8A51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Refinery Greenhouse Emission </a:t>
            </a:r>
          </a:p>
        </c:rich>
      </c:tx>
      <c:overlay val="0"/>
      <c:spPr>
        <a:solidFill>
          <a:schemeClr val="accent2">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pieChart>
        <c:varyColors val="1"/>
        <c:ser>
          <c:idx val="0"/>
          <c:order val="0"/>
          <c:tx>
            <c:strRef>
              <c:f>GHG!$B$59</c:f>
              <c:strCache>
                <c:ptCount val="1"/>
                <c:pt idx="0">
                  <c:v>Greenhouse Emission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8D-4D3C-A59D-A7379FEF62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8D-4D3C-A59D-A7379FEF62C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8D-4D3C-A59D-A7379FEF62C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8D-4D3C-A59D-A7379FEF62C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8D-4D3C-A59D-A7379FEF62C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58D-4D3C-A59D-A7379FEF62C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58D-4D3C-A59D-A7379FEF62C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58D-4D3C-A59D-A7379FEF62C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58D-4D3C-A59D-A7379FEF62C2}"/>
              </c:ext>
            </c:extLst>
          </c:dPt>
          <c:cat>
            <c:strRef>
              <c:f>(GHG!$C$73,GHG!$C$75:$C$78,GHG!$C$80:$C$83)</c:f>
              <c:strCache>
                <c:ptCount val="9"/>
                <c:pt idx="0">
                  <c:v>Gasoline</c:v>
                </c:pt>
                <c:pt idx="1">
                  <c:v>Fresh water</c:v>
                </c:pt>
                <c:pt idx="2">
                  <c:v>cooling water</c:v>
                </c:pt>
                <c:pt idx="3">
                  <c:v>Steam</c:v>
                </c:pt>
                <c:pt idx="4">
                  <c:v>Electricity </c:v>
                </c:pt>
                <c:pt idx="5">
                  <c:v>Distance 1 (road)</c:v>
                </c:pt>
                <c:pt idx="6">
                  <c:v>Distance 2 (train)</c:v>
                </c:pt>
                <c:pt idx="7">
                  <c:v>Distance 3 (ship)</c:v>
                </c:pt>
                <c:pt idx="8">
                  <c:v>Distance 4 (plane)</c:v>
                </c:pt>
              </c:strCache>
            </c:strRef>
          </c:cat>
          <c:val>
            <c:numRef>
              <c:f>(GHG!$K$73,GHG!$K$75:$K$78,GHG!$K$80:$K$83)</c:f>
              <c:numCache>
                <c:formatCode>0.00</c:formatCode>
                <c:ptCount val="9"/>
                <c:pt idx="0">
                  <c:v>0</c:v>
                </c:pt>
                <c:pt idx="1">
                  <c:v>0</c:v>
                </c:pt>
                <c:pt idx="2">
                  <c:v>0</c:v>
                </c:pt>
                <c:pt idx="3">
                  <c:v>0</c:v>
                </c:pt>
                <c:pt idx="4">
                  <c:v>0</c:v>
                </c:pt>
                <c:pt idx="5" formatCode="General">
                  <c:v>0</c:v>
                </c:pt>
                <c:pt idx="6" formatCode="General">
                  <c:v>0</c:v>
                </c:pt>
                <c:pt idx="7" formatCode="General">
                  <c:v>0</c:v>
                </c:pt>
                <c:pt idx="8" formatCode="General">
                  <c:v>0</c:v>
                </c:pt>
              </c:numCache>
            </c:numRef>
          </c:val>
          <c:extLst>
            <c:ext xmlns:c16="http://schemas.microsoft.com/office/drawing/2014/chart" uri="{C3380CC4-5D6E-409C-BE32-E72D297353CC}">
              <c16:uniqueId val="{00000000-51DC-4C47-B3AF-0DD0F7F7CB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l-SI"/>
              <a:t>Priority Map</a:t>
            </a:r>
            <a:r>
              <a:rPr lang="da-DK"/>
              <a:t> - With Risk Names</a:t>
            </a:r>
            <a:endParaRPr lang="sl-SI"/>
          </a:p>
        </c:rich>
      </c:tx>
      <c:layout>
        <c:manualLayout>
          <c:xMode val="edge"/>
          <c:yMode val="edge"/>
          <c:x val="0.15679514725790128"/>
          <c:y val="8.1982387009758545E-2"/>
        </c:manualLayout>
      </c:layout>
      <c:overlay val="0"/>
      <c:spPr>
        <a:noFill/>
        <a:ln w="25400">
          <a:noFill/>
        </a:ln>
      </c:spPr>
    </c:title>
    <c:autoTitleDeleted val="0"/>
    <c:plotArea>
      <c:layout>
        <c:manualLayout>
          <c:layoutTarget val="inner"/>
          <c:xMode val="edge"/>
          <c:yMode val="edge"/>
          <c:x val="0.12670299727520401"/>
          <c:y val="0.204395604395604"/>
          <c:w val="0.79291553133515003"/>
          <c:h val="0.56263736263736297"/>
        </c:manualLayout>
      </c:layout>
      <c:scatterChart>
        <c:scatterStyle val="lineMarker"/>
        <c:varyColors val="0"/>
        <c:ser>
          <c:idx val="0"/>
          <c:order val="0"/>
          <c:tx>
            <c:strRef>
              <c:f>'Risk Evaluation '!$C$23</c:f>
              <c:strCache>
                <c:ptCount val="1"/>
              </c:strCache>
            </c:strRef>
          </c:tx>
          <c:spPr>
            <a:ln w="28575">
              <a:noFill/>
            </a:ln>
          </c:spPr>
          <c:marker>
            <c:spPr>
              <a:solidFill>
                <a:srgbClr val="00B0F0"/>
              </a:solidFill>
              <a:ln>
                <a:solidFill>
                  <a:schemeClr val="tx1"/>
                </a:solidFill>
              </a:ln>
            </c:spPr>
          </c:marker>
          <c:dPt>
            <c:idx val="0"/>
            <c:marker>
              <c:symbol val="circle"/>
              <c:size val="7"/>
            </c:marker>
            <c:bubble3D val="0"/>
            <c:extLst>
              <c:ext xmlns:c16="http://schemas.microsoft.com/office/drawing/2014/chart" uri="{C3380CC4-5D6E-409C-BE32-E72D297353CC}">
                <c16:uniqueId val="{00000000-A361-4EF6-B1F4-DA87F70E4417}"/>
              </c:ext>
            </c:extLst>
          </c:dPt>
          <c:xVal>
            <c:numRef>
              <c:f>'Risk Evaluation '!$F$23</c:f>
              <c:numCache>
                <c:formatCode>0</c:formatCode>
                <c:ptCount val="1"/>
                <c:pt idx="0">
                  <c:v>0</c:v>
                </c:pt>
              </c:numCache>
            </c:numRef>
          </c:xVal>
          <c:yVal>
            <c:numRef>
              <c:f>'Risk Evaluation '!$H$23</c:f>
              <c:numCache>
                <c:formatCode>General</c:formatCode>
                <c:ptCount val="1"/>
              </c:numCache>
            </c:numRef>
          </c:yVal>
          <c:smooth val="0"/>
          <c:extLst>
            <c:ext xmlns:c16="http://schemas.microsoft.com/office/drawing/2014/chart" uri="{C3380CC4-5D6E-409C-BE32-E72D297353CC}">
              <c16:uniqueId val="{00000001-A361-4EF6-B1F4-DA87F70E4417}"/>
            </c:ext>
          </c:extLst>
        </c:ser>
        <c:ser>
          <c:idx val="1"/>
          <c:order val="1"/>
          <c:tx>
            <c:strRef>
              <c:f>'Risk Evaluation '!$C$24</c:f>
              <c:strCache>
                <c:ptCount val="1"/>
              </c:strCache>
            </c:strRef>
          </c:tx>
          <c:spPr>
            <a:ln w="28575">
              <a:noFill/>
            </a:ln>
          </c:spPr>
          <c:marker>
            <c:symbol val="circle"/>
            <c:size val="7"/>
            <c:spPr>
              <a:solidFill>
                <a:srgbClr val="00B0F0"/>
              </a:solidFill>
              <a:ln>
                <a:solidFill>
                  <a:schemeClr val="tx1"/>
                </a:solidFill>
              </a:ln>
            </c:spPr>
          </c:marker>
          <c:xVal>
            <c:numRef>
              <c:f>'Risk Evaluation '!$F$24</c:f>
              <c:numCache>
                <c:formatCode>0</c:formatCode>
                <c:ptCount val="1"/>
                <c:pt idx="0">
                  <c:v>0</c:v>
                </c:pt>
              </c:numCache>
            </c:numRef>
          </c:xVal>
          <c:yVal>
            <c:numRef>
              <c:f>'Risk Evaluation '!$H$24</c:f>
              <c:numCache>
                <c:formatCode>General</c:formatCode>
                <c:ptCount val="1"/>
              </c:numCache>
            </c:numRef>
          </c:yVal>
          <c:smooth val="0"/>
          <c:extLst>
            <c:ext xmlns:c16="http://schemas.microsoft.com/office/drawing/2014/chart" uri="{C3380CC4-5D6E-409C-BE32-E72D297353CC}">
              <c16:uniqueId val="{00000002-A361-4EF6-B1F4-DA87F70E4417}"/>
            </c:ext>
          </c:extLst>
        </c:ser>
        <c:ser>
          <c:idx val="2"/>
          <c:order val="2"/>
          <c:tx>
            <c:strRef>
              <c:f>'Risk Evaluation '!$C$25</c:f>
              <c:strCache>
                <c:ptCount val="1"/>
              </c:strCache>
            </c:strRef>
          </c:tx>
          <c:spPr>
            <a:ln w="28575">
              <a:noFill/>
            </a:ln>
          </c:spPr>
          <c:marker>
            <c:symbol val="circle"/>
            <c:size val="7"/>
            <c:spPr>
              <a:solidFill>
                <a:srgbClr val="00B0F0"/>
              </a:solidFill>
              <a:ln>
                <a:solidFill>
                  <a:schemeClr val="tx1"/>
                </a:solidFill>
              </a:ln>
            </c:spPr>
          </c:marker>
          <c:trendline>
            <c:trendlineType val="linear"/>
            <c:dispRSqr val="0"/>
            <c:dispEq val="0"/>
          </c:trendline>
          <c:xVal>
            <c:numRef>
              <c:f>'Risk Evaluation '!$F$25</c:f>
              <c:numCache>
                <c:formatCode>0</c:formatCode>
                <c:ptCount val="1"/>
                <c:pt idx="0">
                  <c:v>0</c:v>
                </c:pt>
              </c:numCache>
            </c:numRef>
          </c:xVal>
          <c:yVal>
            <c:numRef>
              <c:f>'Risk Evaluation '!$H$25</c:f>
              <c:numCache>
                <c:formatCode>General</c:formatCode>
                <c:ptCount val="1"/>
              </c:numCache>
            </c:numRef>
          </c:yVal>
          <c:smooth val="0"/>
          <c:extLst>
            <c:ext xmlns:c16="http://schemas.microsoft.com/office/drawing/2014/chart" uri="{C3380CC4-5D6E-409C-BE32-E72D297353CC}">
              <c16:uniqueId val="{00000004-A361-4EF6-B1F4-DA87F70E4417}"/>
            </c:ext>
          </c:extLst>
        </c:ser>
        <c:ser>
          <c:idx val="3"/>
          <c:order val="3"/>
          <c:tx>
            <c:strRef>
              <c:f>'Risk Evaluation '!$C$26</c:f>
              <c:strCache>
                <c:ptCount val="1"/>
              </c:strCache>
            </c:strRef>
          </c:tx>
          <c:spPr>
            <a:ln w="28575">
              <a:noFill/>
            </a:ln>
          </c:spPr>
          <c:marker>
            <c:symbol val="circle"/>
            <c:size val="7"/>
            <c:spPr>
              <a:solidFill>
                <a:srgbClr val="00B0F0"/>
              </a:solidFill>
            </c:spPr>
          </c:marker>
          <c:xVal>
            <c:numRef>
              <c:f>'Risk Evaluation '!$F$26</c:f>
              <c:numCache>
                <c:formatCode>0</c:formatCode>
                <c:ptCount val="1"/>
                <c:pt idx="0">
                  <c:v>0</c:v>
                </c:pt>
              </c:numCache>
            </c:numRef>
          </c:xVal>
          <c:yVal>
            <c:numRef>
              <c:f>'Risk Evaluation '!$H$26</c:f>
              <c:numCache>
                <c:formatCode>General</c:formatCode>
                <c:ptCount val="1"/>
              </c:numCache>
            </c:numRef>
          </c:yVal>
          <c:smooth val="0"/>
          <c:extLst>
            <c:ext xmlns:c16="http://schemas.microsoft.com/office/drawing/2014/chart" uri="{C3380CC4-5D6E-409C-BE32-E72D297353CC}">
              <c16:uniqueId val="{00000005-A361-4EF6-B1F4-DA87F70E4417}"/>
            </c:ext>
          </c:extLst>
        </c:ser>
        <c:ser>
          <c:idx val="5"/>
          <c:order val="4"/>
          <c:tx>
            <c:strRef>
              <c:f>'Risk Evaluation '!$C$27</c:f>
              <c:strCache>
                <c:ptCount val="1"/>
              </c:strCache>
            </c:strRef>
          </c:tx>
          <c:spPr>
            <a:ln w="28575">
              <a:noFill/>
            </a:ln>
          </c:spPr>
          <c:marker>
            <c:symbol val="circle"/>
            <c:size val="7"/>
            <c:spPr>
              <a:solidFill>
                <a:srgbClr val="00B0F0"/>
              </a:solidFill>
            </c:spPr>
          </c:marker>
          <c:xVal>
            <c:numRef>
              <c:f>'Risk Evaluation '!$F$27</c:f>
              <c:numCache>
                <c:formatCode>0</c:formatCode>
                <c:ptCount val="1"/>
                <c:pt idx="0">
                  <c:v>0</c:v>
                </c:pt>
              </c:numCache>
            </c:numRef>
          </c:xVal>
          <c:yVal>
            <c:numRef>
              <c:f>'Risk Evaluation '!$H$27</c:f>
              <c:numCache>
                <c:formatCode>General</c:formatCode>
                <c:ptCount val="1"/>
              </c:numCache>
            </c:numRef>
          </c:yVal>
          <c:smooth val="0"/>
          <c:extLst>
            <c:ext xmlns:c16="http://schemas.microsoft.com/office/drawing/2014/chart" uri="{C3380CC4-5D6E-409C-BE32-E72D297353CC}">
              <c16:uniqueId val="{00000006-A361-4EF6-B1F4-DA87F70E4417}"/>
            </c:ext>
          </c:extLst>
        </c:ser>
        <c:ser>
          <c:idx val="6"/>
          <c:order val="5"/>
          <c:tx>
            <c:strRef>
              <c:f>'Risk Evaluation '!$C$5</c:f>
              <c:strCache>
                <c:ptCount val="1"/>
              </c:strCache>
            </c:strRef>
          </c:tx>
          <c:spPr>
            <a:ln w="28575">
              <a:noFill/>
            </a:ln>
          </c:spPr>
          <c:marker>
            <c:symbol val="circle"/>
            <c:size val="7"/>
            <c:spPr>
              <a:solidFill>
                <a:srgbClr val="00B0F0"/>
              </a:solidFill>
              <a:ln>
                <a:solidFill>
                  <a:schemeClr val="tx1"/>
                </a:solidFill>
              </a:ln>
            </c:spPr>
          </c:marker>
          <c:xVal>
            <c:numRef>
              <c:f>'Risk Evaluation '!$F$5</c:f>
              <c:numCache>
                <c:formatCode>General</c:formatCode>
                <c:ptCount val="1"/>
                <c:pt idx="0">
                  <c:v>0</c:v>
                </c:pt>
              </c:numCache>
            </c:numRef>
          </c:xVal>
          <c:yVal>
            <c:numRef>
              <c:f>'Risk Evaluation '!$H$5</c:f>
              <c:numCache>
                <c:formatCode>General</c:formatCode>
                <c:ptCount val="1"/>
              </c:numCache>
            </c:numRef>
          </c:yVal>
          <c:smooth val="0"/>
          <c:extLst>
            <c:ext xmlns:c16="http://schemas.microsoft.com/office/drawing/2014/chart" uri="{C3380CC4-5D6E-409C-BE32-E72D297353CC}">
              <c16:uniqueId val="{00000007-A361-4EF6-B1F4-DA87F70E4417}"/>
            </c:ext>
          </c:extLst>
        </c:ser>
        <c:ser>
          <c:idx val="4"/>
          <c:order val="6"/>
          <c:tx>
            <c:strRef>
              <c:f>'Risk Evaluation '!$C$6</c:f>
              <c:strCache>
                <c:ptCount val="1"/>
              </c:strCache>
            </c:strRef>
          </c:tx>
          <c:spPr>
            <a:ln w="28575">
              <a:noFill/>
            </a:ln>
          </c:spPr>
          <c:marker>
            <c:symbol val="circle"/>
            <c:size val="7"/>
            <c:spPr>
              <a:solidFill>
                <a:srgbClr val="00B0F0"/>
              </a:solidFill>
            </c:spPr>
          </c:marker>
          <c:xVal>
            <c:numRef>
              <c:f>'Risk Evaluation '!$F$6</c:f>
              <c:numCache>
                <c:formatCode>General</c:formatCode>
                <c:ptCount val="1"/>
                <c:pt idx="0">
                  <c:v>0</c:v>
                </c:pt>
              </c:numCache>
            </c:numRef>
          </c:xVal>
          <c:yVal>
            <c:numRef>
              <c:f>'Risk Evaluation '!$H$6</c:f>
              <c:numCache>
                <c:formatCode>General</c:formatCode>
                <c:ptCount val="1"/>
              </c:numCache>
            </c:numRef>
          </c:yVal>
          <c:smooth val="0"/>
          <c:extLst>
            <c:ext xmlns:c16="http://schemas.microsoft.com/office/drawing/2014/chart" uri="{C3380CC4-5D6E-409C-BE32-E72D297353CC}">
              <c16:uniqueId val="{00000008-A361-4EF6-B1F4-DA87F70E4417}"/>
            </c:ext>
          </c:extLst>
        </c:ser>
        <c:ser>
          <c:idx val="7"/>
          <c:order val="7"/>
          <c:tx>
            <c:strRef>
              <c:f>'Risk Evaluation '!$C$7</c:f>
              <c:strCache>
                <c:ptCount val="1"/>
              </c:strCache>
            </c:strRef>
          </c:tx>
          <c:spPr>
            <a:ln w="28575">
              <a:noFill/>
            </a:ln>
          </c:spPr>
          <c:marker>
            <c:symbol val="circle"/>
            <c:size val="7"/>
            <c:spPr>
              <a:solidFill>
                <a:srgbClr val="00B0F0"/>
              </a:solidFill>
            </c:spPr>
          </c:marker>
          <c:xVal>
            <c:numRef>
              <c:f>'Risk Evaluation '!$F$7</c:f>
              <c:numCache>
                <c:formatCode>General</c:formatCode>
                <c:ptCount val="1"/>
                <c:pt idx="0">
                  <c:v>0</c:v>
                </c:pt>
              </c:numCache>
            </c:numRef>
          </c:xVal>
          <c:yVal>
            <c:numRef>
              <c:f>'Risk Evaluation '!$H$7</c:f>
              <c:numCache>
                <c:formatCode>General</c:formatCode>
                <c:ptCount val="1"/>
              </c:numCache>
            </c:numRef>
          </c:yVal>
          <c:smooth val="0"/>
          <c:extLst>
            <c:ext xmlns:c16="http://schemas.microsoft.com/office/drawing/2014/chart" uri="{C3380CC4-5D6E-409C-BE32-E72D297353CC}">
              <c16:uniqueId val="{00000009-A361-4EF6-B1F4-DA87F70E4417}"/>
            </c:ext>
          </c:extLst>
        </c:ser>
        <c:ser>
          <c:idx val="8"/>
          <c:order val="8"/>
          <c:tx>
            <c:strRef>
              <c:f>'Risk Evaluation '!$C$8</c:f>
              <c:strCache>
                <c:ptCount val="1"/>
              </c:strCache>
            </c:strRef>
          </c:tx>
          <c:spPr>
            <a:ln w="28575">
              <a:noFill/>
            </a:ln>
          </c:spPr>
          <c:marker>
            <c:symbol val="circle"/>
            <c:size val="7"/>
            <c:spPr>
              <a:solidFill>
                <a:srgbClr val="00B0F0"/>
              </a:solidFill>
              <a:ln>
                <a:solidFill>
                  <a:schemeClr val="tx1">
                    <a:alpha val="96000"/>
                  </a:schemeClr>
                </a:solidFill>
              </a:ln>
            </c:spPr>
          </c:marker>
          <c:xVal>
            <c:numRef>
              <c:f>'Risk Evaluation '!$F$8</c:f>
              <c:numCache>
                <c:formatCode>General</c:formatCode>
                <c:ptCount val="1"/>
                <c:pt idx="0">
                  <c:v>0</c:v>
                </c:pt>
              </c:numCache>
            </c:numRef>
          </c:xVal>
          <c:yVal>
            <c:numRef>
              <c:f>'Risk Evaluation '!$H$8</c:f>
              <c:numCache>
                <c:formatCode>General</c:formatCode>
                <c:ptCount val="1"/>
              </c:numCache>
            </c:numRef>
          </c:yVal>
          <c:smooth val="0"/>
          <c:extLst>
            <c:ext xmlns:c16="http://schemas.microsoft.com/office/drawing/2014/chart" uri="{C3380CC4-5D6E-409C-BE32-E72D297353CC}">
              <c16:uniqueId val="{0000000A-A361-4EF6-B1F4-DA87F70E4417}"/>
            </c:ext>
          </c:extLst>
        </c:ser>
        <c:ser>
          <c:idx val="9"/>
          <c:order val="9"/>
          <c:tx>
            <c:strRef>
              <c:f>'Risk Evaluation '!$C$9</c:f>
              <c:strCache>
                <c:ptCount val="1"/>
              </c:strCache>
            </c:strRef>
          </c:tx>
          <c:spPr>
            <a:ln w="28575">
              <a:noFill/>
            </a:ln>
          </c:spPr>
          <c:marker>
            <c:spPr>
              <a:ln>
                <a:solidFill>
                  <a:schemeClr val="tx1"/>
                </a:solidFill>
              </a:ln>
            </c:spPr>
          </c:marker>
          <c:dPt>
            <c:idx val="0"/>
            <c:marker>
              <c:symbol val="circle"/>
              <c:size val="7"/>
              <c:spPr>
                <a:solidFill>
                  <a:srgbClr val="00B0F0"/>
                </a:solidFill>
                <a:ln>
                  <a:solidFill>
                    <a:schemeClr val="tx1"/>
                  </a:solidFill>
                </a:ln>
              </c:spPr>
            </c:marker>
            <c:bubble3D val="0"/>
            <c:extLst>
              <c:ext xmlns:c16="http://schemas.microsoft.com/office/drawing/2014/chart" uri="{C3380CC4-5D6E-409C-BE32-E72D297353CC}">
                <c16:uniqueId val="{0000000B-A361-4EF6-B1F4-DA87F70E4417}"/>
              </c:ext>
            </c:extLst>
          </c:dPt>
          <c:xVal>
            <c:numRef>
              <c:f>'Risk Evaluation '!$F$9</c:f>
              <c:numCache>
                <c:formatCode>General</c:formatCode>
                <c:ptCount val="1"/>
                <c:pt idx="0">
                  <c:v>0</c:v>
                </c:pt>
              </c:numCache>
            </c:numRef>
          </c:xVal>
          <c:yVal>
            <c:numRef>
              <c:f>'Risk Evaluation '!$H$9</c:f>
              <c:numCache>
                <c:formatCode>General</c:formatCode>
                <c:ptCount val="1"/>
              </c:numCache>
            </c:numRef>
          </c:yVal>
          <c:smooth val="0"/>
          <c:extLst>
            <c:ext xmlns:c16="http://schemas.microsoft.com/office/drawing/2014/chart" uri="{C3380CC4-5D6E-409C-BE32-E72D297353CC}">
              <c16:uniqueId val="{0000000C-A361-4EF6-B1F4-DA87F70E4417}"/>
            </c:ext>
          </c:extLst>
        </c:ser>
        <c:ser>
          <c:idx val="10"/>
          <c:order val="10"/>
          <c:tx>
            <c:strRef>
              <c:f>'Risk Evaluation '!$C$17</c:f>
              <c:strCache>
                <c:ptCount val="1"/>
              </c:strCache>
            </c:strRef>
          </c:tx>
          <c:spPr>
            <a:ln w="28575">
              <a:noFill/>
            </a:ln>
          </c:spPr>
          <c:marker>
            <c:symbol val="circle"/>
            <c:size val="7"/>
            <c:spPr>
              <a:solidFill>
                <a:srgbClr val="00B0F0"/>
              </a:solidFill>
              <a:ln>
                <a:solidFill>
                  <a:schemeClr val="tx1"/>
                </a:solidFill>
              </a:ln>
            </c:spPr>
          </c:marker>
          <c:xVal>
            <c:numRef>
              <c:f>'Risk Evaluation '!$F$17</c:f>
              <c:numCache>
                <c:formatCode>0</c:formatCode>
                <c:ptCount val="1"/>
                <c:pt idx="0">
                  <c:v>0</c:v>
                </c:pt>
              </c:numCache>
            </c:numRef>
          </c:xVal>
          <c:yVal>
            <c:numRef>
              <c:f>'Risk Evaluation '!$H$17</c:f>
              <c:numCache>
                <c:formatCode>General</c:formatCode>
                <c:ptCount val="1"/>
              </c:numCache>
            </c:numRef>
          </c:yVal>
          <c:smooth val="0"/>
          <c:extLst>
            <c:ext xmlns:c16="http://schemas.microsoft.com/office/drawing/2014/chart" uri="{C3380CC4-5D6E-409C-BE32-E72D297353CC}">
              <c16:uniqueId val="{0000000D-A361-4EF6-B1F4-DA87F70E4417}"/>
            </c:ext>
          </c:extLst>
        </c:ser>
        <c:ser>
          <c:idx val="11"/>
          <c:order val="11"/>
          <c:tx>
            <c:strRef>
              <c:f>'Risk Evaluation '!$C$18</c:f>
              <c:strCache>
                <c:ptCount val="1"/>
              </c:strCache>
            </c:strRef>
          </c:tx>
          <c:spPr>
            <a:ln w="28575">
              <a:solidFill>
                <a:schemeClr val="tx1"/>
              </a:solidFill>
            </a:ln>
          </c:spPr>
          <c:marker>
            <c:symbol val="circle"/>
            <c:size val="7"/>
            <c:spPr>
              <a:solidFill>
                <a:srgbClr val="00B0F0"/>
              </a:solidFill>
              <a:ln>
                <a:solidFill>
                  <a:schemeClr val="tx1"/>
                </a:solidFill>
              </a:ln>
            </c:spPr>
          </c:marker>
          <c:xVal>
            <c:numRef>
              <c:f>'Risk Evaluation '!$F$18</c:f>
              <c:numCache>
                <c:formatCode>0</c:formatCode>
                <c:ptCount val="1"/>
                <c:pt idx="0">
                  <c:v>0</c:v>
                </c:pt>
              </c:numCache>
            </c:numRef>
          </c:xVal>
          <c:yVal>
            <c:numRef>
              <c:f>'Risk Evaluation '!$H$18</c:f>
              <c:numCache>
                <c:formatCode>General</c:formatCode>
                <c:ptCount val="1"/>
              </c:numCache>
            </c:numRef>
          </c:yVal>
          <c:smooth val="0"/>
          <c:extLst>
            <c:ext xmlns:c16="http://schemas.microsoft.com/office/drawing/2014/chart" uri="{C3380CC4-5D6E-409C-BE32-E72D297353CC}">
              <c16:uniqueId val="{0000000E-A361-4EF6-B1F4-DA87F70E4417}"/>
            </c:ext>
          </c:extLst>
        </c:ser>
        <c:ser>
          <c:idx val="12"/>
          <c:order val="12"/>
          <c:tx>
            <c:strRef>
              <c:f>'Risk Evaluation '!$C$19</c:f>
              <c:strCache>
                <c:ptCount val="1"/>
              </c:strCache>
            </c:strRef>
          </c:tx>
          <c:spPr>
            <a:ln w="28575">
              <a:noFill/>
            </a:ln>
          </c:spPr>
          <c:marker>
            <c:symbol val="circle"/>
            <c:size val="7"/>
            <c:spPr>
              <a:solidFill>
                <a:srgbClr val="00B0F0"/>
              </a:solidFill>
              <a:ln>
                <a:solidFill>
                  <a:schemeClr val="tx1"/>
                </a:solidFill>
              </a:ln>
            </c:spPr>
          </c:marker>
          <c:xVal>
            <c:numRef>
              <c:f>'Risk Evaluation '!$F$19</c:f>
              <c:numCache>
                <c:formatCode>0</c:formatCode>
                <c:ptCount val="1"/>
                <c:pt idx="0">
                  <c:v>0</c:v>
                </c:pt>
              </c:numCache>
            </c:numRef>
          </c:xVal>
          <c:yVal>
            <c:numRef>
              <c:f>'Risk Evaluation '!$H$19</c:f>
              <c:numCache>
                <c:formatCode>General</c:formatCode>
                <c:ptCount val="1"/>
              </c:numCache>
            </c:numRef>
          </c:yVal>
          <c:smooth val="0"/>
          <c:extLst>
            <c:ext xmlns:c16="http://schemas.microsoft.com/office/drawing/2014/chart" uri="{C3380CC4-5D6E-409C-BE32-E72D297353CC}">
              <c16:uniqueId val="{0000000F-A361-4EF6-B1F4-DA87F70E4417}"/>
            </c:ext>
          </c:extLst>
        </c:ser>
        <c:ser>
          <c:idx val="13"/>
          <c:order val="13"/>
          <c:tx>
            <c:strRef>
              <c:f>'Risk Evaluation '!$C$20</c:f>
              <c:strCache>
                <c:ptCount val="1"/>
              </c:strCache>
            </c:strRef>
          </c:tx>
          <c:spPr>
            <a:ln w="28575">
              <a:noFill/>
            </a:ln>
          </c:spPr>
          <c:marker>
            <c:symbol val="circle"/>
            <c:size val="7"/>
            <c:spPr>
              <a:solidFill>
                <a:srgbClr val="00B0F0"/>
              </a:solidFill>
              <a:ln>
                <a:solidFill>
                  <a:schemeClr val="tx1"/>
                </a:solidFill>
              </a:ln>
            </c:spPr>
          </c:marker>
          <c:xVal>
            <c:numRef>
              <c:f>'Risk Evaluation '!$F$20</c:f>
              <c:numCache>
                <c:formatCode>0</c:formatCode>
                <c:ptCount val="1"/>
                <c:pt idx="0">
                  <c:v>0</c:v>
                </c:pt>
              </c:numCache>
            </c:numRef>
          </c:xVal>
          <c:yVal>
            <c:numRef>
              <c:f>'Risk Evaluation '!$H$20</c:f>
              <c:numCache>
                <c:formatCode>General</c:formatCode>
                <c:ptCount val="1"/>
              </c:numCache>
            </c:numRef>
          </c:yVal>
          <c:smooth val="0"/>
          <c:extLst>
            <c:ext xmlns:c16="http://schemas.microsoft.com/office/drawing/2014/chart" uri="{C3380CC4-5D6E-409C-BE32-E72D297353CC}">
              <c16:uniqueId val="{00000010-A361-4EF6-B1F4-DA87F70E4417}"/>
            </c:ext>
          </c:extLst>
        </c:ser>
        <c:ser>
          <c:idx val="14"/>
          <c:order val="14"/>
          <c:tx>
            <c:strRef>
              <c:f>'Risk Evaluation '!$C$21</c:f>
              <c:strCache>
                <c:ptCount val="1"/>
              </c:strCache>
            </c:strRef>
          </c:tx>
          <c:spPr>
            <a:ln w="28575">
              <a:noFill/>
            </a:ln>
          </c:spPr>
          <c:marker>
            <c:symbol val="circle"/>
            <c:size val="7"/>
            <c:spPr>
              <a:solidFill>
                <a:srgbClr val="00B0F0"/>
              </a:solidFill>
              <a:ln>
                <a:solidFill>
                  <a:schemeClr val="tx1"/>
                </a:solidFill>
              </a:ln>
            </c:spPr>
          </c:marker>
          <c:xVal>
            <c:numRef>
              <c:f>'Risk Evaluation '!$F$21</c:f>
              <c:numCache>
                <c:formatCode>0</c:formatCode>
                <c:ptCount val="1"/>
                <c:pt idx="0">
                  <c:v>0</c:v>
                </c:pt>
              </c:numCache>
            </c:numRef>
          </c:xVal>
          <c:yVal>
            <c:numRef>
              <c:f>'Risk Evaluation '!$H$21</c:f>
              <c:numCache>
                <c:formatCode>General</c:formatCode>
                <c:ptCount val="1"/>
              </c:numCache>
            </c:numRef>
          </c:yVal>
          <c:smooth val="0"/>
          <c:extLst>
            <c:ext xmlns:c16="http://schemas.microsoft.com/office/drawing/2014/chart" uri="{C3380CC4-5D6E-409C-BE32-E72D297353CC}">
              <c16:uniqueId val="{00000011-A361-4EF6-B1F4-DA87F70E4417}"/>
            </c:ext>
          </c:extLst>
        </c:ser>
        <c:ser>
          <c:idx val="15"/>
          <c:order val="15"/>
          <c:tx>
            <c:strRef>
              <c:f>'Risk Evaluation '!$C$11</c:f>
              <c:strCache>
                <c:ptCount val="1"/>
              </c:strCache>
            </c:strRef>
          </c:tx>
          <c:spPr>
            <a:ln w="28575">
              <a:noFill/>
            </a:ln>
          </c:spPr>
          <c:marker>
            <c:symbol val="circle"/>
            <c:size val="7"/>
            <c:spPr>
              <a:solidFill>
                <a:srgbClr val="00B0F0"/>
              </a:solidFill>
              <a:ln>
                <a:solidFill>
                  <a:schemeClr val="tx1"/>
                </a:solidFill>
              </a:ln>
            </c:spPr>
          </c:marker>
          <c:xVal>
            <c:numRef>
              <c:f>'Risk Evaluation '!$F$11</c:f>
              <c:numCache>
                <c:formatCode>0</c:formatCode>
                <c:ptCount val="1"/>
                <c:pt idx="0">
                  <c:v>0</c:v>
                </c:pt>
              </c:numCache>
            </c:numRef>
          </c:xVal>
          <c:yVal>
            <c:numRef>
              <c:f>'Risk Evaluation '!$H$11</c:f>
              <c:numCache>
                <c:formatCode>General</c:formatCode>
                <c:ptCount val="1"/>
              </c:numCache>
            </c:numRef>
          </c:yVal>
          <c:smooth val="0"/>
          <c:extLst>
            <c:ext xmlns:c16="http://schemas.microsoft.com/office/drawing/2014/chart" uri="{C3380CC4-5D6E-409C-BE32-E72D297353CC}">
              <c16:uniqueId val="{00000012-A361-4EF6-B1F4-DA87F70E4417}"/>
            </c:ext>
          </c:extLst>
        </c:ser>
        <c:ser>
          <c:idx val="16"/>
          <c:order val="16"/>
          <c:tx>
            <c:strRef>
              <c:f>'Risk Evaluation '!$C$12</c:f>
              <c:strCache>
                <c:ptCount val="1"/>
              </c:strCache>
            </c:strRef>
          </c:tx>
          <c:spPr>
            <a:ln w="28575">
              <a:noFill/>
            </a:ln>
          </c:spPr>
          <c:marker>
            <c:symbol val="circle"/>
            <c:size val="7"/>
            <c:spPr>
              <a:solidFill>
                <a:srgbClr val="00B0F0"/>
              </a:solidFill>
              <a:ln>
                <a:solidFill>
                  <a:schemeClr val="tx1"/>
                </a:solidFill>
              </a:ln>
            </c:spPr>
          </c:marker>
          <c:xVal>
            <c:numRef>
              <c:f>'Risk Evaluation '!$F$12</c:f>
              <c:numCache>
                <c:formatCode>0</c:formatCode>
                <c:ptCount val="1"/>
                <c:pt idx="0">
                  <c:v>0</c:v>
                </c:pt>
              </c:numCache>
            </c:numRef>
          </c:xVal>
          <c:yVal>
            <c:numRef>
              <c:f>'Risk Evaluation '!$H$12</c:f>
              <c:numCache>
                <c:formatCode>General</c:formatCode>
                <c:ptCount val="1"/>
              </c:numCache>
            </c:numRef>
          </c:yVal>
          <c:smooth val="0"/>
          <c:extLst>
            <c:ext xmlns:c16="http://schemas.microsoft.com/office/drawing/2014/chart" uri="{C3380CC4-5D6E-409C-BE32-E72D297353CC}">
              <c16:uniqueId val="{00000013-A361-4EF6-B1F4-DA87F70E4417}"/>
            </c:ext>
          </c:extLst>
        </c:ser>
        <c:ser>
          <c:idx val="17"/>
          <c:order val="17"/>
          <c:tx>
            <c:strRef>
              <c:f>'Risk Evaluation '!$C$13</c:f>
              <c:strCache>
                <c:ptCount val="1"/>
              </c:strCache>
            </c:strRef>
          </c:tx>
          <c:spPr>
            <a:ln w="28575">
              <a:noFill/>
            </a:ln>
          </c:spPr>
          <c:marker>
            <c:spPr>
              <a:ln>
                <a:solidFill>
                  <a:schemeClr val="tx1"/>
                </a:solidFill>
              </a:ln>
            </c:spPr>
          </c:marker>
          <c:dPt>
            <c:idx val="0"/>
            <c:marker>
              <c:symbol val="circle"/>
              <c:size val="7"/>
              <c:spPr>
                <a:solidFill>
                  <a:srgbClr val="00B0F0"/>
                </a:solidFill>
                <a:ln>
                  <a:solidFill>
                    <a:schemeClr val="tx1"/>
                  </a:solidFill>
                </a:ln>
              </c:spPr>
            </c:marker>
            <c:bubble3D val="0"/>
            <c:extLst>
              <c:ext xmlns:c16="http://schemas.microsoft.com/office/drawing/2014/chart" uri="{C3380CC4-5D6E-409C-BE32-E72D297353CC}">
                <c16:uniqueId val="{00000014-A361-4EF6-B1F4-DA87F70E4417}"/>
              </c:ext>
            </c:extLst>
          </c:dPt>
          <c:trendline>
            <c:trendlineType val="linear"/>
            <c:dispRSqr val="0"/>
            <c:dispEq val="0"/>
          </c:trendline>
          <c:xVal>
            <c:numRef>
              <c:f>'Risk Evaluation '!$F$13</c:f>
              <c:numCache>
                <c:formatCode>0</c:formatCode>
                <c:ptCount val="1"/>
                <c:pt idx="0">
                  <c:v>0</c:v>
                </c:pt>
              </c:numCache>
            </c:numRef>
          </c:xVal>
          <c:yVal>
            <c:numRef>
              <c:f>'Risk Evaluation '!$H$13</c:f>
              <c:numCache>
                <c:formatCode>General</c:formatCode>
                <c:ptCount val="1"/>
              </c:numCache>
            </c:numRef>
          </c:yVal>
          <c:smooth val="0"/>
          <c:extLst>
            <c:ext xmlns:c16="http://schemas.microsoft.com/office/drawing/2014/chart" uri="{C3380CC4-5D6E-409C-BE32-E72D297353CC}">
              <c16:uniqueId val="{00000016-A361-4EF6-B1F4-DA87F70E4417}"/>
            </c:ext>
          </c:extLst>
        </c:ser>
        <c:ser>
          <c:idx val="18"/>
          <c:order val="18"/>
          <c:tx>
            <c:strRef>
              <c:f>'Risk Evaluation '!$C$14</c:f>
              <c:strCache>
                <c:ptCount val="1"/>
              </c:strCache>
            </c:strRef>
          </c:tx>
          <c:spPr>
            <a:ln w="28575">
              <a:noFill/>
            </a:ln>
          </c:spPr>
          <c:marker>
            <c:symbol val="circle"/>
            <c:size val="7"/>
            <c:spPr>
              <a:solidFill>
                <a:srgbClr val="00B0F0"/>
              </a:solidFill>
              <a:ln>
                <a:solidFill>
                  <a:schemeClr val="tx1"/>
                </a:solidFill>
              </a:ln>
            </c:spPr>
          </c:marker>
          <c:xVal>
            <c:numRef>
              <c:f>'Risk Evaluation '!$F$14</c:f>
              <c:numCache>
                <c:formatCode>0</c:formatCode>
                <c:ptCount val="1"/>
                <c:pt idx="0">
                  <c:v>0</c:v>
                </c:pt>
              </c:numCache>
            </c:numRef>
          </c:xVal>
          <c:yVal>
            <c:numRef>
              <c:f>'Risk Evaluation '!$H$14</c:f>
              <c:numCache>
                <c:formatCode>General</c:formatCode>
                <c:ptCount val="1"/>
              </c:numCache>
            </c:numRef>
          </c:yVal>
          <c:smooth val="0"/>
          <c:extLst>
            <c:ext xmlns:c16="http://schemas.microsoft.com/office/drawing/2014/chart" uri="{C3380CC4-5D6E-409C-BE32-E72D297353CC}">
              <c16:uniqueId val="{00000017-A361-4EF6-B1F4-DA87F70E4417}"/>
            </c:ext>
          </c:extLst>
        </c:ser>
        <c:ser>
          <c:idx val="19"/>
          <c:order val="19"/>
          <c:tx>
            <c:strRef>
              <c:f>'Risk Evaluation '!$C$15</c:f>
              <c:strCache>
                <c:ptCount val="1"/>
              </c:strCache>
            </c:strRef>
          </c:tx>
          <c:spPr>
            <a:ln w="28575">
              <a:noFill/>
            </a:ln>
          </c:spPr>
          <c:marker>
            <c:symbol val="circle"/>
            <c:size val="7"/>
            <c:spPr>
              <a:solidFill>
                <a:srgbClr val="00B0F0"/>
              </a:solidFill>
              <a:ln>
                <a:solidFill>
                  <a:schemeClr val="tx1"/>
                </a:solidFill>
              </a:ln>
            </c:spPr>
          </c:marker>
          <c:xVal>
            <c:numRef>
              <c:f>'Risk Evaluation '!$F$15</c:f>
              <c:numCache>
                <c:formatCode>0</c:formatCode>
                <c:ptCount val="1"/>
                <c:pt idx="0">
                  <c:v>0</c:v>
                </c:pt>
              </c:numCache>
            </c:numRef>
          </c:xVal>
          <c:yVal>
            <c:numRef>
              <c:f>'Risk Evaluation '!$H$15</c:f>
              <c:numCache>
                <c:formatCode>General</c:formatCode>
                <c:ptCount val="1"/>
              </c:numCache>
            </c:numRef>
          </c:yVal>
          <c:smooth val="0"/>
          <c:extLst>
            <c:ext xmlns:c16="http://schemas.microsoft.com/office/drawing/2014/chart" uri="{C3380CC4-5D6E-409C-BE32-E72D297353CC}">
              <c16:uniqueId val="{00000018-A361-4EF6-B1F4-DA87F70E4417}"/>
            </c:ext>
          </c:extLst>
        </c:ser>
        <c:ser>
          <c:idx val="20"/>
          <c:order val="20"/>
          <c:tx>
            <c:strRef>
              <c:f>'Risk Evaluation '!$C$29</c:f>
              <c:strCache>
                <c:ptCount val="1"/>
              </c:strCache>
            </c:strRef>
          </c:tx>
          <c:spPr>
            <a:ln w="28575">
              <a:noFill/>
            </a:ln>
          </c:spPr>
          <c:marker>
            <c:symbol val="circle"/>
            <c:size val="7"/>
            <c:spPr>
              <a:solidFill>
                <a:srgbClr val="00B0F0"/>
              </a:solidFill>
              <a:ln>
                <a:solidFill>
                  <a:schemeClr val="tx1"/>
                </a:solidFill>
              </a:ln>
            </c:spPr>
          </c:marker>
          <c:xVal>
            <c:numRef>
              <c:f>'Risk Evaluation '!$F$29</c:f>
              <c:numCache>
                <c:formatCode>0</c:formatCode>
                <c:ptCount val="1"/>
                <c:pt idx="0">
                  <c:v>0</c:v>
                </c:pt>
              </c:numCache>
            </c:numRef>
          </c:xVal>
          <c:yVal>
            <c:numRef>
              <c:f>'Risk Evaluation '!$H$29</c:f>
              <c:numCache>
                <c:formatCode>General</c:formatCode>
                <c:ptCount val="1"/>
              </c:numCache>
            </c:numRef>
          </c:yVal>
          <c:smooth val="0"/>
          <c:extLst>
            <c:ext xmlns:c16="http://schemas.microsoft.com/office/drawing/2014/chart" uri="{C3380CC4-5D6E-409C-BE32-E72D297353CC}">
              <c16:uniqueId val="{00000019-A361-4EF6-B1F4-DA87F70E4417}"/>
            </c:ext>
          </c:extLst>
        </c:ser>
        <c:ser>
          <c:idx val="21"/>
          <c:order val="21"/>
          <c:tx>
            <c:strRef>
              <c:f>'Risk Evaluation '!$C$30</c:f>
              <c:strCache>
                <c:ptCount val="1"/>
              </c:strCache>
            </c:strRef>
          </c:tx>
          <c:spPr>
            <a:ln w="28575">
              <a:noFill/>
            </a:ln>
          </c:spPr>
          <c:marker>
            <c:symbol val="circle"/>
            <c:size val="7"/>
            <c:spPr>
              <a:solidFill>
                <a:srgbClr val="00B0F0"/>
              </a:solidFill>
              <a:ln>
                <a:solidFill>
                  <a:schemeClr val="tx1"/>
                </a:solidFill>
              </a:ln>
            </c:spPr>
          </c:marker>
          <c:xVal>
            <c:numRef>
              <c:f>'Risk Evaluation '!$F$30</c:f>
              <c:numCache>
                <c:formatCode>0</c:formatCode>
                <c:ptCount val="1"/>
                <c:pt idx="0">
                  <c:v>0</c:v>
                </c:pt>
              </c:numCache>
            </c:numRef>
          </c:xVal>
          <c:yVal>
            <c:numRef>
              <c:f>'Risk Evaluation '!$H$30</c:f>
              <c:numCache>
                <c:formatCode>General</c:formatCode>
                <c:ptCount val="1"/>
              </c:numCache>
            </c:numRef>
          </c:yVal>
          <c:smooth val="0"/>
          <c:extLst>
            <c:ext xmlns:c16="http://schemas.microsoft.com/office/drawing/2014/chart" uri="{C3380CC4-5D6E-409C-BE32-E72D297353CC}">
              <c16:uniqueId val="{0000001A-A361-4EF6-B1F4-DA87F70E4417}"/>
            </c:ext>
          </c:extLst>
        </c:ser>
        <c:ser>
          <c:idx val="22"/>
          <c:order val="22"/>
          <c:tx>
            <c:strRef>
              <c:f>'Risk Evaluation '!$C$31</c:f>
              <c:strCache>
                <c:ptCount val="1"/>
              </c:strCache>
            </c:strRef>
          </c:tx>
          <c:spPr>
            <a:ln w="28575">
              <a:noFill/>
            </a:ln>
          </c:spPr>
          <c:marker>
            <c:symbol val="circle"/>
            <c:size val="7"/>
            <c:spPr>
              <a:solidFill>
                <a:srgbClr val="00B0F0"/>
              </a:solidFill>
              <a:ln>
                <a:solidFill>
                  <a:schemeClr val="tx1"/>
                </a:solidFill>
              </a:ln>
            </c:spPr>
          </c:marker>
          <c:xVal>
            <c:numRef>
              <c:f>'Risk Evaluation '!$F$31</c:f>
              <c:numCache>
                <c:formatCode>0</c:formatCode>
                <c:ptCount val="1"/>
                <c:pt idx="0">
                  <c:v>0</c:v>
                </c:pt>
              </c:numCache>
            </c:numRef>
          </c:xVal>
          <c:yVal>
            <c:numRef>
              <c:f>'Risk Evaluation '!$H$31</c:f>
              <c:numCache>
                <c:formatCode>General</c:formatCode>
                <c:ptCount val="1"/>
              </c:numCache>
            </c:numRef>
          </c:yVal>
          <c:smooth val="0"/>
          <c:extLst>
            <c:ext xmlns:c16="http://schemas.microsoft.com/office/drawing/2014/chart" uri="{C3380CC4-5D6E-409C-BE32-E72D297353CC}">
              <c16:uniqueId val="{0000001B-A361-4EF6-B1F4-DA87F70E4417}"/>
            </c:ext>
          </c:extLst>
        </c:ser>
        <c:ser>
          <c:idx val="23"/>
          <c:order val="23"/>
          <c:tx>
            <c:strRef>
              <c:f>'Risk Evaluation '!$C$32</c:f>
              <c:strCache>
                <c:ptCount val="1"/>
              </c:strCache>
            </c:strRef>
          </c:tx>
          <c:spPr>
            <a:ln w="28575">
              <a:noFill/>
            </a:ln>
          </c:spPr>
          <c:dPt>
            <c:idx val="0"/>
            <c:marker>
              <c:symbol val="circle"/>
              <c:size val="7"/>
              <c:spPr>
                <a:solidFill>
                  <a:srgbClr val="00B0F0"/>
                </a:solidFill>
                <a:ln>
                  <a:solidFill>
                    <a:schemeClr val="tx1"/>
                  </a:solidFill>
                </a:ln>
              </c:spPr>
            </c:marker>
            <c:bubble3D val="0"/>
            <c:extLst>
              <c:ext xmlns:c16="http://schemas.microsoft.com/office/drawing/2014/chart" uri="{C3380CC4-5D6E-409C-BE32-E72D297353CC}">
                <c16:uniqueId val="{0000001C-A361-4EF6-B1F4-DA87F70E4417}"/>
              </c:ext>
            </c:extLst>
          </c:dPt>
          <c:xVal>
            <c:numRef>
              <c:f>'Risk Evaluation '!$F$32</c:f>
              <c:numCache>
                <c:formatCode>0</c:formatCode>
                <c:ptCount val="1"/>
                <c:pt idx="0">
                  <c:v>0</c:v>
                </c:pt>
              </c:numCache>
            </c:numRef>
          </c:xVal>
          <c:yVal>
            <c:numRef>
              <c:f>'Risk Evaluation '!$H$32</c:f>
              <c:numCache>
                <c:formatCode>General</c:formatCode>
                <c:ptCount val="1"/>
              </c:numCache>
            </c:numRef>
          </c:yVal>
          <c:smooth val="0"/>
          <c:extLst>
            <c:ext xmlns:c16="http://schemas.microsoft.com/office/drawing/2014/chart" uri="{C3380CC4-5D6E-409C-BE32-E72D297353CC}">
              <c16:uniqueId val="{0000001D-A361-4EF6-B1F4-DA87F70E4417}"/>
            </c:ext>
          </c:extLst>
        </c:ser>
        <c:ser>
          <c:idx val="24"/>
          <c:order val="24"/>
          <c:tx>
            <c:strRef>
              <c:f>'Risk Evaluation '!$C$33</c:f>
              <c:strCache>
                <c:ptCount val="1"/>
              </c:strCache>
            </c:strRef>
          </c:tx>
          <c:spPr>
            <a:ln w="28575">
              <a:noFill/>
            </a:ln>
          </c:spPr>
          <c:marker>
            <c:symbol val="circle"/>
            <c:size val="7"/>
            <c:spPr>
              <a:solidFill>
                <a:srgbClr val="00B0F0"/>
              </a:solidFill>
              <a:ln>
                <a:solidFill>
                  <a:schemeClr val="tx1"/>
                </a:solidFill>
              </a:ln>
            </c:spPr>
          </c:marker>
          <c:xVal>
            <c:numRef>
              <c:f>'Risk Evaluation '!$F$33</c:f>
              <c:numCache>
                <c:formatCode>0</c:formatCode>
                <c:ptCount val="1"/>
                <c:pt idx="0">
                  <c:v>0</c:v>
                </c:pt>
              </c:numCache>
            </c:numRef>
          </c:xVal>
          <c:yVal>
            <c:numRef>
              <c:f>'Risk Evaluation '!$H$33</c:f>
              <c:numCache>
                <c:formatCode>General</c:formatCode>
                <c:ptCount val="1"/>
              </c:numCache>
            </c:numRef>
          </c:yVal>
          <c:smooth val="0"/>
          <c:extLst>
            <c:ext xmlns:c16="http://schemas.microsoft.com/office/drawing/2014/chart" uri="{C3380CC4-5D6E-409C-BE32-E72D297353CC}">
              <c16:uniqueId val="{0000001E-A361-4EF6-B1F4-DA87F70E4417}"/>
            </c:ext>
          </c:extLst>
        </c:ser>
        <c:ser>
          <c:idx val="25"/>
          <c:order val="25"/>
          <c:tx>
            <c:strRef>
              <c:f>'Risk Evaluation '!$C$35</c:f>
              <c:strCache>
                <c:ptCount val="1"/>
              </c:strCache>
            </c:strRef>
          </c:tx>
          <c:spPr>
            <a:ln w="28575">
              <a:noFill/>
            </a:ln>
          </c:spPr>
          <c:marker>
            <c:symbol val="circle"/>
            <c:size val="7"/>
            <c:spPr>
              <a:solidFill>
                <a:srgbClr val="00B0F0"/>
              </a:solidFill>
              <a:ln>
                <a:solidFill>
                  <a:schemeClr val="tx1"/>
                </a:solidFill>
              </a:ln>
            </c:spPr>
          </c:marker>
          <c:xVal>
            <c:numRef>
              <c:f>'Risk Evaluation '!$F$35</c:f>
              <c:numCache>
                <c:formatCode>0</c:formatCode>
                <c:ptCount val="1"/>
                <c:pt idx="0">
                  <c:v>0</c:v>
                </c:pt>
              </c:numCache>
            </c:numRef>
          </c:xVal>
          <c:yVal>
            <c:numRef>
              <c:f>'Risk Evaluation '!$H$35</c:f>
              <c:numCache>
                <c:formatCode>General</c:formatCode>
                <c:ptCount val="1"/>
              </c:numCache>
            </c:numRef>
          </c:yVal>
          <c:smooth val="0"/>
          <c:extLst>
            <c:ext xmlns:c16="http://schemas.microsoft.com/office/drawing/2014/chart" uri="{C3380CC4-5D6E-409C-BE32-E72D297353CC}">
              <c16:uniqueId val="{0000001F-A361-4EF6-B1F4-DA87F70E4417}"/>
            </c:ext>
          </c:extLst>
        </c:ser>
        <c:ser>
          <c:idx val="26"/>
          <c:order val="26"/>
          <c:tx>
            <c:strRef>
              <c:f>'Risk Evaluation '!$C$36</c:f>
              <c:strCache>
                <c:ptCount val="1"/>
              </c:strCache>
            </c:strRef>
          </c:tx>
          <c:spPr>
            <a:ln w="28575">
              <a:noFill/>
            </a:ln>
          </c:spPr>
          <c:marker>
            <c:symbol val="circle"/>
            <c:size val="7"/>
            <c:spPr>
              <a:solidFill>
                <a:srgbClr val="00B0F0"/>
              </a:solidFill>
              <a:ln>
                <a:solidFill>
                  <a:schemeClr val="tx1"/>
                </a:solidFill>
              </a:ln>
            </c:spPr>
          </c:marker>
          <c:xVal>
            <c:numRef>
              <c:f>'Risk Evaluation '!$F$36</c:f>
              <c:numCache>
                <c:formatCode>0</c:formatCode>
                <c:ptCount val="1"/>
                <c:pt idx="0">
                  <c:v>0</c:v>
                </c:pt>
              </c:numCache>
            </c:numRef>
          </c:xVal>
          <c:yVal>
            <c:numRef>
              <c:f>'Risk Evaluation '!$H$36</c:f>
              <c:numCache>
                <c:formatCode>General</c:formatCode>
                <c:ptCount val="1"/>
              </c:numCache>
            </c:numRef>
          </c:yVal>
          <c:smooth val="0"/>
          <c:extLst>
            <c:ext xmlns:c16="http://schemas.microsoft.com/office/drawing/2014/chart" uri="{C3380CC4-5D6E-409C-BE32-E72D297353CC}">
              <c16:uniqueId val="{00000020-A361-4EF6-B1F4-DA87F70E4417}"/>
            </c:ext>
          </c:extLst>
        </c:ser>
        <c:ser>
          <c:idx val="27"/>
          <c:order val="27"/>
          <c:tx>
            <c:strRef>
              <c:f>'Risk Evaluation '!$C$37</c:f>
              <c:strCache>
                <c:ptCount val="1"/>
              </c:strCache>
            </c:strRef>
          </c:tx>
          <c:spPr>
            <a:ln w="28575">
              <a:noFill/>
            </a:ln>
          </c:spPr>
          <c:marker>
            <c:symbol val="circle"/>
            <c:size val="7"/>
            <c:spPr>
              <a:solidFill>
                <a:srgbClr val="00B0F0"/>
              </a:solidFill>
              <a:ln>
                <a:solidFill>
                  <a:schemeClr val="tx1"/>
                </a:solidFill>
              </a:ln>
            </c:spPr>
          </c:marker>
          <c:xVal>
            <c:numRef>
              <c:f>'Risk Evaluation '!$F$37</c:f>
              <c:numCache>
                <c:formatCode>0</c:formatCode>
                <c:ptCount val="1"/>
                <c:pt idx="0">
                  <c:v>0</c:v>
                </c:pt>
              </c:numCache>
            </c:numRef>
          </c:xVal>
          <c:yVal>
            <c:numRef>
              <c:f>'Risk Evaluation '!$H$37</c:f>
              <c:numCache>
                <c:formatCode>General</c:formatCode>
                <c:ptCount val="1"/>
              </c:numCache>
            </c:numRef>
          </c:yVal>
          <c:smooth val="0"/>
          <c:extLst>
            <c:ext xmlns:c16="http://schemas.microsoft.com/office/drawing/2014/chart" uri="{C3380CC4-5D6E-409C-BE32-E72D297353CC}">
              <c16:uniqueId val="{00000021-A361-4EF6-B1F4-DA87F70E4417}"/>
            </c:ext>
          </c:extLst>
        </c:ser>
        <c:ser>
          <c:idx val="28"/>
          <c:order val="28"/>
          <c:tx>
            <c:strRef>
              <c:f>'Risk Evaluation '!$C$38</c:f>
              <c:strCache>
                <c:ptCount val="1"/>
              </c:strCache>
            </c:strRef>
          </c:tx>
          <c:spPr>
            <a:ln w="28575">
              <a:noFill/>
            </a:ln>
          </c:spPr>
          <c:marker>
            <c:symbol val="circle"/>
            <c:size val="7"/>
            <c:spPr>
              <a:solidFill>
                <a:srgbClr val="00B0F0"/>
              </a:solidFill>
              <a:ln>
                <a:solidFill>
                  <a:schemeClr val="tx1"/>
                </a:solidFill>
              </a:ln>
            </c:spPr>
          </c:marker>
          <c:xVal>
            <c:numRef>
              <c:f>'Risk Evaluation '!$F$38</c:f>
              <c:numCache>
                <c:formatCode>0</c:formatCode>
                <c:ptCount val="1"/>
                <c:pt idx="0">
                  <c:v>0</c:v>
                </c:pt>
              </c:numCache>
            </c:numRef>
          </c:xVal>
          <c:yVal>
            <c:numRef>
              <c:f>'Risk Evaluation '!$H$38</c:f>
              <c:numCache>
                <c:formatCode>General</c:formatCode>
                <c:ptCount val="1"/>
              </c:numCache>
            </c:numRef>
          </c:yVal>
          <c:smooth val="0"/>
          <c:extLst>
            <c:ext xmlns:c16="http://schemas.microsoft.com/office/drawing/2014/chart" uri="{C3380CC4-5D6E-409C-BE32-E72D297353CC}">
              <c16:uniqueId val="{00000022-A361-4EF6-B1F4-DA87F70E4417}"/>
            </c:ext>
          </c:extLst>
        </c:ser>
        <c:ser>
          <c:idx val="29"/>
          <c:order val="29"/>
          <c:tx>
            <c:strRef>
              <c:f>'Risk Evaluation '!$C$39</c:f>
              <c:strCache>
                <c:ptCount val="1"/>
              </c:strCache>
            </c:strRef>
          </c:tx>
          <c:spPr>
            <a:ln w="28575">
              <a:noFill/>
            </a:ln>
          </c:spPr>
          <c:marker>
            <c:symbol val="circle"/>
            <c:size val="7"/>
            <c:spPr>
              <a:solidFill>
                <a:srgbClr val="00B0F0"/>
              </a:solidFill>
              <a:ln>
                <a:solidFill>
                  <a:srgbClr val="002060"/>
                </a:solidFill>
              </a:ln>
            </c:spPr>
          </c:marker>
          <c:xVal>
            <c:numRef>
              <c:f>'Risk Evaluation '!$F$39</c:f>
              <c:numCache>
                <c:formatCode>0</c:formatCode>
                <c:ptCount val="1"/>
                <c:pt idx="0">
                  <c:v>0</c:v>
                </c:pt>
              </c:numCache>
            </c:numRef>
          </c:xVal>
          <c:yVal>
            <c:numRef>
              <c:f>'Risk Evaluation '!$H$39</c:f>
              <c:numCache>
                <c:formatCode>General</c:formatCode>
                <c:ptCount val="1"/>
              </c:numCache>
            </c:numRef>
          </c:yVal>
          <c:smooth val="0"/>
          <c:extLst>
            <c:ext xmlns:c16="http://schemas.microsoft.com/office/drawing/2014/chart" uri="{C3380CC4-5D6E-409C-BE32-E72D297353CC}">
              <c16:uniqueId val="{00000023-A361-4EF6-B1F4-DA87F70E4417}"/>
            </c:ext>
          </c:extLst>
        </c:ser>
        <c:dLbls>
          <c:showLegendKey val="0"/>
          <c:showVal val="0"/>
          <c:showCatName val="0"/>
          <c:showSerName val="0"/>
          <c:showPercent val="0"/>
          <c:showBubbleSize val="0"/>
        </c:dLbls>
        <c:axId val="32232192"/>
        <c:axId val="32234496"/>
      </c:scatterChart>
      <c:valAx>
        <c:axId val="32232192"/>
        <c:scaling>
          <c:orientation val="minMax"/>
          <c:max val="100"/>
          <c:min val="0"/>
        </c:scaling>
        <c:delete val="0"/>
        <c:axPos val="b"/>
        <c:title>
          <c:tx>
            <c:rich>
              <a:bodyPr/>
              <a:lstStyle/>
              <a:p>
                <a:pPr>
                  <a:defRPr sz="1200"/>
                </a:pPr>
                <a:r>
                  <a:rPr lang="it-IT" sz="1200"/>
                  <a:t>Risk Grade</a:t>
                </a:r>
              </a:p>
            </c:rich>
          </c:tx>
          <c:layout>
            <c:manualLayout>
              <c:xMode val="edge"/>
              <c:yMode val="edge"/>
              <c:x val="0.4505468264430747"/>
              <c:y val="0.87275175218482315"/>
            </c:manualLayout>
          </c:layout>
          <c:overlay val="0"/>
          <c:spPr>
            <a:noFill/>
            <a:ln w="25400">
              <a:noFill/>
            </a:ln>
          </c:spPr>
        </c:title>
        <c:numFmt formatCode="@" sourceLinked="0"/>
        <c:majorTickMark val="none"/>
        <c:minorTickMark val="none"/>
        <c:tickLblPos val="low"/>
        <c:spPr>
          <a:noFill/>
          <a:ln w="25400" cap="sq" cmpd="sng">
            <a:solidFill>
              <a:schemeClr val="tx1"/>
            </a:solidFill>
            <a:miter lim="800000"/>
          </a:ln>
        </c:spPr>
        <c:txPr>
          <a:bodyPr rot="0" vert="horz"/>
          <a:lstStyle/>
          <a:p>
            <a:pPr>
              <a:defRPr/>
            </a:pPr>
            <a:endParaRPr lang="LID4096"/>
          </a:p>
        </c:txPr>
        <c:crossAx val="32234496"/>
        <c:crossesAt val="5"/>
        <c:crossBetween val="midCat"/>
        <c:majorUnit val="10"/>
        <c:minorUnit val="5"/>
      </c:valAx>
      <c:valAx>
        <c:axId val="32234496"/>
        <c:scaling>
          <c:orientation val="minMax"/>
          <c:max val="10"/>
          <c:min val="0"/>
        </c:scaling>
        <c:delete val="0"/>
        <c:axPos val="l"/>
        <c:title>
          <c:tx>
            <c:rich>
              <a:bodyPr/>
              <a:lstStyle/>
              <a:p>
                <a:pPr>
                  <a:defRPr sz="1200"/>
                </a:pPr>
                <a:r>
                  <a:rPr lang="it-IT" sz="1200"/>
                  <a:t>Success of Intervention</a:t>
                </a:r>
              </a:p>
            </c:rich>
          </c:tx>
          <c:layout>
            <c:manualLayout>
              <c:xMode val="edge"/>
              <c:yMode val="edge"/>
              <c:x val="1.2058492363585489E-2"/>
              <c:y val="0.29944963607160546"/>
            </c:manualLayout>
          </c:layout>
          <c:overlay val="0"/>
          <c:spPr>
            <a:noFill/>
            <a:ln w="25400">
              <a:noFill/>
            </a:ln>
          </c:spPr>
        </c:title>
        <c:numFmt formatCode="General" sourceLinked="1"/>
        <c:majorTickMark val="out"/>
        <c:minorTickMark val="none"/>
        <c:tickLblPos val="low"/>
        <c:spPr>
          <a:ln w="25400" cap="flat">
            <a:solidFill>
              <a:schemeClr val="tx1"/>
            </a:solidFill>
            <a:miter lim="800000"/>
          </a:ln>
        </c:spPr>
        <c:crossAx val="32232192"/>
        <c:crossesAt val="50"/>
        <c:crossBetween val="midCat"/>
        <c:majorUnit val="1"/>
        <c:minorUnit val="1"/>
      </c:valAx>
      <c:spPr>
        <a:blipFill>
          <a:blip xmlns:r="http://schemas.openxmlformats.org/officeDocument/2006/relationships" r:embed="rId1"/>
          <a:stretch>
            <a:fillRect/>
          </a:stretch>
        </a:blipFill>
      </c:spPr>
    </c:plotArea>
    <c:plotVisOnly val="1"/>
    <c:dispBlanksAs val="gap"/>
    <c:showDLblsOverMax val="0"/>
  </c:chart>
  <c:txPr>
    <a:bodyPr/>
    <a:lstStyle/>
    <a:p>
      <a:pPr>
        <a:defRPr>
          <a:solidFill>
            <a:schemeClr val="tx1"/>
          </a:solidFill>
        </a:defRPr>
      </a:pPr>
      <a:endParaRPr lang="LID4096"/>
    </a:p>
  </c:txPr>
  <c:printSettings>
    <c:headerFooter alignWithMargins="0"/>
    <c:pageMargins b="0.75000000000000011" l="0.70000000000000007" r="0.70000000000000007" t="0.75000000000000011" header="0.30000000000000004" footer="0.30000000000000004"/>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20</xdr:col>
      <xdr:colOff>502920</xdr:colOff>
      <xdr:row>0</xdr:row>
      <xdr:rowOff>156210</xdr:rowOff>
    </xdr:from>
    <xdr:to>
      <xdr:col>27</xdr:col>
      <xdr:colOff>331733</xdr:colOff>
      <xdr:row>5</xdr:row>
      <xdr:rowOff>156210</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rotWithShape="1">
        <a:blip xmlns:r="http://schemas.openxmlformats.org/officeDocument/2006/relationships" r:embed="rId1"/>
        <a:srcRect b="37500"/>
        <a:stretch/>
      </xdr:blipFill>
      <xdr:spPr>
        <a:xfrm>
          <a:off x="13304520" y="156210"/>
          <a:ext cx="4309373" cy="914400"/>
        </a:xfrm>
        <a:prstGeom prst="rect">
          <a:avLst/>
        </a:prstGeom>
      </xdr:spPr>
    </xdr:pic>
    <xdr:clientData/>
  </xdr:twoCellAnchor>
  <xdr:twoCellAnchor editAs="oneCell">
    <xdr:from>
      <xdr:col>1</xdr:col>
      <xdr:colOff>109220</xdr:colOff>
      <xdr:row>0</xdr:row>
      <xdr:rowOff>151130</xdr:rowOff>
    </xdr:from>
    <xdr:to>
      <xdr:col>3</xdr:col>
      <xdr:colOff>409918</xdr:colOff>
      <xdr:row>10</xdr:row>
      <xdr:rowOff>53340</xdr:rowOff>
    </xdr:to>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
        <a:stretch>
          <a:fillRect/>
        </a:stretch>
      </xdr:blipFill>
      <xdr:spPr>
        <a:xfrm>
          <a:off x="749300" y="151130"/>
          <a:ext cx="1580858" cy="999490"/>
        </a:xfrm>
        <a:prstGeom prst="rect">
          <a:avLst/>
        </a:prstGeom>
      </xdr:spPr>
    </xdr:pic>
    <xdr:clientData/>
  </xdr:twoCellAnchor>
  <xdr:twoCellAnchor editAs="oneCell">
    <xdr:from>
      <xdr:col>12</xdr:col>
      <xdr:colOff>358140</xdr:colOff>
      <xdr:row>0</xdr:row>
      <xdr:rowOff>121920</xdr:rowOff>
    </xdr:from>
    <xdr:to>
      <xdr:col>15</xdr:col>
      <xdr:colOff>251460</xdr:colOff>
      <xdr:row>10</xdr:row>
      <xdr:rowOff>64770</xdr:rowOff>
    </xdr:to>
    <xdr:pic>
      <xdr:nvPicPr>
        <xdr:cNvPr id="29" name="Picture 28">
          <a:extLst>
            <a:ext uri="{FF2B5EF4-FFF2-40B4-BE49-F238E27FC236}">
              <a16:creationId xmlns:a16="http://schemas.microsoft.com/office/drawing/2014/main" id="{00000000-0008-0000-0100-00001D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125" t="13253" r="8646" b="15802"/>
        <a:stretch/>
      </xdr:blipFill>
      <xdr:spPr bwMode="auto">
        <a:xfrm>
          <a:off x="8039100" y="121920"/>
          <a:ext cx="1813560" cy="1040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324661</xdr:colOff>
      <xdr:row>9</xdr:row>
      <xdr:rowOff>2656</xdr:rowOff>
    </xdr:from>
    <xdr:to>
      <xdr:col>21</xdr:col>
      <xdr:colOff>324661</xdr:colOff>
      <xdr:row>14</xdr:row>
      <xdr:rowOff>2655</xdr:rowOff>
    </xdr:to>
    <xdr:cxnSp macro="">
      <xdr:nvCxnSpPr>
        <xdr:cNvPr id="11" name="Straight Arrow Connector 10">
          <a:extLst>
            <a:ext uri="{FF2B5EF4-FFF2-40B4-BE49-F238E27FC236}">
              <a16:creationId xmlns:a16="http://schemas.microsoft.com/office/drawing/2014/main" id="{00000000-0008-0000-0200-00000B000000}"/>
            </a:ext>
          </a:extLst>
        </xdr:cNvPr>
        <xdr:cNvCxnSpPr/>
      </xdr:nvCxnSpPr>
      <xdr:spPr>
        <a:xfrm>
          <a:off x="14831525" y="1538201"/>
          <a:ext cx="0" cy="73890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3233</xdr:colOff>
      <xdr:row>16</xdr:row>
      <xdr:rowOff>63500</xdr:rowOff>
    </xdr:from>
    <xdr:to>
      <xdr:col>26</xdr:col>
      <xdr:colOff>11545</xdr:colOff>
      <xdr:row>16</xdr:row>
      <xdr:rowOff>76315</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a:xfrm flipV="1">
          <a:off x="15733915" y="2718955"/>
          <a:ext cx="2300085" cy="1281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608447</xdr:colOff>
      <xdr:row>16</xdr:row>
      <xdr:rowOff>41448</xdr:rowOff>
    </xdr:from>
    <xdr:to>
      <xdr:col>20</xdr:col>
      <xdr:colOff>7505</xdr:colOff>
      <xdr:row>16</xdr:row>
      <xdr:rowOff>41448</xdr:rowOff>
    </xdr:to>
    <xdr:cxnSp macro="">
      <xdr:nvCxnSpPr>
        <xdr:cNvPr id="22" name="Straight Arrow Connector 21">
          <a:extLst>
            <a:ext uri="{FF2B5EF4-FFF2-40B4-BE49-F238E27FC236}">
              <a16:creationId xmlns:a16="http://schemas.microsoft.com/office/drawing/2014/main" id="{00000000-0008-0000-0200-000016000000}"/>
            </a:ext>
          </a:extLst>
        </xdr:cNvPr>
        <xdr:cNvCxnSpPr/>
      </xdr:nvCxnSpPr>
      <xdr:spPr>
        <a:xfrm>
          <a:off x="12944765" y="2696903"/>
          <a:ext cx="957695"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295525</xdr:colOff>
      <xdr:row>17</xdr:row>
      <xdr:rowOff>231775</xdr:rowOff>
    </xdr:from>
    <xdr:to>
      <xdr:col>20</xdr:col>
      <xdr:colOff>297373</xdr:colOff>
      <xdr:row>22</xdr:row>
      <xdr:rowOff>177262</xdr:rowOff>
    </xdr:to>
    <xdr:cxnSp macro="">
      <xdr:nvCxnSpPr>
        <xdr:cNvPr id="25" name="Straight Arrow Connector 24">
          <a:extLst>
            <a:ext uri="{FF2B5EF4-FFF2-40B4-BE49-F238E27FC236}">
              <a16:creationId xmlns:a16="http://schemas.microsoft.com/office/drawing/2014/main" id="{00000000-0008-0000-0200-000019000000}"/>
            </a:ext>
          </a:extLst>
        </xdr:cNvPr>
        <xdr:cNvCxnSpPr/>
      </xdr:nvCxnSpPr>
      <xdr:spPr>
        <a:xfrm>
          <a:off x="14316325" y="3489325"/>
          <a:ext cx="1848" cy="91703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601172</xdr:colOff>
      <xdr:row>16</xdr:row>
      <xdr:rowOff>75045</xdr:rowOff>
    </xdr:from>
    <xdr:to>
      <xdr:col>30</xdr:col>
      <xdr:colOff>11546</xdr:colOff>
      <xdr:row>16</xdr:row>
      <xdr:rowOff>78394</xdr:rowOff>
    </xdr:to>
    <xdr:cxnSp macro="">
      <xdr:nvCxnSpPr>
        <xdr:cNvPr id="26" name="Straight Arrow Connector 25">
          <a:extLst>
            <a:ext uri="{FF2B5EF4-FFF2-40B4-BE49-F238E27FC236}">
              <a16:creationId xmlns:a16="http://schemas.microsoft.com/office/drawing/2014/main" id="{00000000-0008-0000-0200-00001A000000}"/>
            </a:ext>
          </a:extLst>
        </xdr:cNvPr>
        <xdr:cNvCxnSpPr/>
      </xdr:nvCxnSpPr>
      <xdr:spPr>
        <a:xfrm flipV="1">
          <a:off x="21336808" y="2730500"/>
          <a:ext cx="1315374" cy="334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392546</xdr:colOff>
      <xdr:row>10</xdr:row>
      <xdr:rowOff>9351</xdr:rowOff>
    </xdr:from>
    <xdr:to>
      <xdr:col>27</xdr:col>
      <xdr:colOff>392546</xdr:colOff>
      <xdr:row>13</xdr:row>
      <xdr:rowOff>174336</xdr:rowOff>
    </xdr:to>
    <xdr:cxnSp macro="">
      <xdr:nvCxnSpPr>
        <xdr:cNvPr id="27" name="Straight Arrow Connector 26">
          <a:extLst>
            <a:ext uri="{FF2B5EF4-FFF2-40B4-BE49-F238E27FC236}">
              <a16:creationId xmlns:a16="http://schemas.microsoft.com/office/drawing/2014/main" id="{00000000-0008-0000-0200-00001B000000}"/>
            </a:ext>
          </a:extLst>
        </xdr:cNvPr>
        <xdr:cNvCxnSpPr/>
      </xdr:nvCxnSpPr>
      <xdr:spPr>
        <a:xfrm>
          <a:off x="17493096" y="1914351"/>
          <a:ext cx="0" cy="71743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261044</xdr:colOff>
      <xdr:row>9</xdr:row>
      <xdr:rowOff>25515</xdr:rowOff>
    </xdr:from>
    <xdr:to>
      <xdr:col>31</xdr:col>
      <xdr:colOff>261044</xdr:colOff>
      <xdr:row>14</xdr:row>
      <xdr:rowOff>5194</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3513589" y="1561060"/>
          <a:ext cx="0" cy="71858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608214</xdr:colOff>
      <xdr:row>16</xdr:row>
      <xdr:rowOff>103334</xdr:rowOff>
    </xdr:from>
    <xdr:to>
      <xdr:col>33</xdr:col>
      <xdr:colOff>1345046</xdr:colOff>
      <xdr:row>16</xdr:row>
      <xdr:rowOff>115454</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4524623" y="2758789"/>
          <a:ext cx="1348741" cy="121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101458</xdr:colOff>
      <xdr:row>18</xdr:row>
      <xdr:rowOff>2418</xdr:rowOff>
    </xdr:from>
    <xdr:to>
      <xdr:col>22</xdr:col>
      <xdr:colOff>102911</xdr:colOff>
      <xdr:row>22</xdr:row>
      <xdr:rowOff>161855</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a:xfrm flipH="1">
          <a:off x="15570058" y="3494918"/>
          <a:ext cx="1453" cy="89603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415650</xdr:colOff>
      <xdr:row>17</xdr:row>
      <xdr:rowOff>231166</xdr:rowOff>
    </xdr:from>
    <xdr:to>
      <xdr:col>27</xdr:col>
      <xdr:colOff>415650</xdr:colOff>
      <xdr:row>21</xdr:row>
      <xdr:rowOff>161906</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a:off x="17516200" y="3488716"/>
          <a:ext cx="0" cy="71814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45720</xdr:colOff>
      <xdr:row>4</xdr:row>
      <xdr:rowOff>30480</xdr:rowOff>
    </xdr:from>
    <xdr:to>
      <xdr:col>6</xdr:col>
      <xdr:colOff>387531</xdr:colOff>
      <xdr:row>24</xdr:row>
      <xdr:rowOff>16490</xdr:rowOff>
    </xdr:to>
    <xdr:sp macro="" textlink="">
      <xdr:nvSpPr>
        <xdr:cNvPr id="14339" name="Object 3" hidden="1">
          <a:extLst>
            <a:ext uri="{63B3BB69-23CF-44E3-9099-C40C66FF867C}">
              <a14:compatExt xmlns:a14="http://schemas.microsoft.com/office/drawing/2010/main"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27</xdr:col>
      <xdr:colOff>342900</xdr:colOff>
      <xdr:row>6</xdr:row>
      <xdr:rowOff>68580</xdr:rowOff>
    </xdr:from>
    <xdr:to>
      <xdr:col>35</xdr:col>
      <xdr:colOff>367395</xdr:colOff>
      <xdr:row>21</xdr:row>
      <xdr:rowOff>167094</xdr:rowOff>
    </xdr:to>
    <xdr:sp macro="" textlink="">
      <xdr:nvSpPr>
        <xdr:cNvPr id="14346" name="Object 10" hidden="1">
          <a:extLst>
            <a:ext uri="{63B3BB69-23CF-44E3-9099-C40C66FF867C}">
              <a14:compatExt xmlns:a14="http://schemas.microsoft.com/office/drawing/2010/main"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28</xdr:col>
      <xdr:colOff>236220</xdr:colOff>
      <xdr:row>3</xdr:row>
      <xdr:rowOff>121920</xdr:rowOff>
    </xdr:from>
    <xdr:to>
      <xdr:col>33</xdr:col>
      <xdr:colOff>592625</xdr:colOff>
      <xdr:row>42</xdr:row>
      <xdr:rowOff>48972</xdr:rowOff>
    </xdr:to>
    <xdr:sp macro="" textlink="">
      <xdr:nvSpPr>
        <xdr:cNvPr id="14349" name="Object 13" hidden="1">
          <a:extLst>
            <a:ext uri="{63B3BB69-23CF-44E3-9099-C40C66FF867C}">
              <a14:compatExt xmlns:a14="http://schemas.microsoft.com/office/drawing/2010/main"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45719</xdr:colOff>
      <xdr:row>3</xdr:row>
      <xdr:rowOff>58240</xdr:rowOff>
    </xdr:from>
    <xdr:to>
      <xdr:col>12</xdr:col>
      <xdr:colOff>7174</xdr:colOff>
      <xdr:row>39</xdr:row>
      <xdr:rowOff>95797</xdr:rowOff>
    </xdr:to>
    <xdr:pic>
      <xdr:nvPicPr>
        <xdr:cNvPr id="2" name="Picture 3">
          <a:extLst>
            <a:ext uri="{FF2B5EF4-FFF2-40B4-BE49-F238E27FC236}">
              <a16:creationId xmlns:a16="http://schemas.microsoft.com/office/drawing/2014/main" id="{52CDC7D3-6ADF-4591-AC6C-1B7B3050B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7976" y="482783"/>
          <a:ext cx="9595312" cy="66958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13</xdr:col>
      <xdr:colOff>54684</xdr:colOff>
      <xdr:row>3</xdr:row>
      <xdr:rowOff>65817</xdr:rowOff>
    </xdr:from>
    <xdr:to>
      <xdr:col>25</xdr:col>
      <xdr:colOff>348961</xdr:colOff>
      <xdr:row>39</xdr:row>
      <xdr:rowOff>92817</xdr:rowOff>
    </xdr:to>
    <xdr:pic>
      <xdr:nvPicPr>
        <xdr:cNvPr id="6" name="Picture 5">
          <a:extLst>
            <a:ext uri="{FF2B5EF4-FFF2-40B4-BE49-F238E27FC236}">
              <a16:creationId xmlns:a16="http://schemas.microsoft.com/office/drawing/2014/main" id="{90A5F5DB-C033-808F-999C-65C4DA7BD0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38370" y="490360"/>
          <a:ext cx="11408591" cy="66814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27</xdr:col>
      <xdr:colOff>-1</xdr:colOff>
      <xdr:row>3</xdr:row>
      <xdr:rowOff>61264</xdr:rowOff>
    </xdr:from>
    <xdr:to>
      <xdr:col>36</xdr:col>
      <xdr:colOff>29261</xdr:colOff>
      <xdr:row>39</xdr:row>
      <xdr:rowOff>134440</xdr:rowOff>
    </xdr:to>
    <xdr:pic>
      <xdr:nvPicPr>
        <xdr:cNvPr id="9" name="Picture 8">
          <a:extLst>
            <a:ext uri="{FF2B5EF4-FFF2-40B4-BE49-F238E27FC236}">
              <a16:creationId xmlns:a16="http://schemas.microsoft.com/office/drawing/2014/main" id="{110C16F3-7C4B-58BA-2865-81B8855649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404285" y="485807"/>
          <a:ext cx="9627641" cy="67314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36</xdr:col>
      <xdr:colOff>618313</xdr:colOff>
      <xdr:row>3</xdr:row>
      <xdr:rowOff>70118</xdr:rowOff>
    </xdr:from>
    <xdr:to>
      <xdr:col>46</xdr:col>
      <xdr:colOff>922592</xdr:colOff>
      <xdr:row>39</xdr:row>
      <xdr:rowOff>174172</xdr:rowOff>
    </xdr:to>
    <xdr:pic>
      <xdr:nvPicPr>
        <xdr:cNvPr id="10" name="Picture 9">
          <a:extLst>
            <a:ext uri="{FF2B5EF4-FFF2-40B4-BE49-F238E27FC236}">
              <a16:creationId xmlns:a16="http://schemas.microsoft.com/office/drawing/2014/main" id="{C0D7ABB2-DB03-87FB-76FE-526C2B8C4C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495149" y="451118"/>
          <a:ext cx="10106370" cy="65879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193950</xdr:colOff>
      <xdr:row>64</xdr:row>
      <xdr:rowOff>155670</xdr:rowOff>
    </xdr:from>
    <xdr:to>
      <xdr:col>17</xdr:col>
      <xdr:colOff>52825</xdr:colOff>
      <xdr:row>78</xdr:row>
      <xdr:rowOff>78944</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340179</xdr:colOff>
      <xdr:row>64</xdr:row>
      <xdr:rowOff>155817</xdr:rowOff>
    </xdr:from>
    <xdr:to>
      <xdr:col>23</xdr:col>
      <xdr:colOff>460039</xdr:colOff>
      <xdr:row>78</xdr:row>
      <xdr:rowOff>82901</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35412</xdr:colOff>
      <xdr:row>64</xdr:row>
      <xdr:rowOff>155460</xdr:rowOff>
    </xdr:from>
    <xdr:to>
      <xdr:col>30</xdr:col>
      <xdr:colOff>156542</xdr:colOff>
      <xdr:row>78</xdr:row>
      <xdr:rowOff>82544</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377718</xdr:colOff>
      <xdr:row>64</xdr:row>
      <xdr:rowOff>149649</xdr:rowOff>
    </xdr:from>
    <xdr:to>
      <xdr:col>36</xdr:col>
      <xdr:colOff>504402</xdr:colOff>
      <xdr:row>78</xdr:row>
      <xdr:rowOff>76733</xdr:rowOff>
    </xdr:to>
    <xdr:graphicFrame macro="">
      <xdr:nvGraphicFramePr>
        <xdr:cNvPr id="6" name="Chart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193460</xdr:colOff>
      <xdr:row>79</xdr:row>
      <xdr:rowOff>4655</xdr:rowOff>
    </xdr:from>
    <xdr:to>
      <xdr:col>17</xdr:col>
      <xdr:colOff>52335</xdr:colOff>
      <xdr:row>92</xdr:row>
      <xdr:rowOff>118217</xdr:rowOff>
    </xdr:to>
    <xdr:graphicFrame macro="">
      <xdr:nvGraphicFramePr>
        <xdr:cNvPr id="7" name="Chart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344171</xdr:colOff>
      <xdr:row>79</xdr:row>
      <xdr:rowOff>6985</xdr:rowOff>
    </xdr:from>
    <xdr:to>
      <xdr:col>23</xdr:col>
      <xdr:colOff>462761</xdr:colOff>
      <xdr:row>92</xdr:row>
      <xdr:rowOff>119277</xdr:rowOff>
    </xdr:to>
    <xdr:graphicFrame macro="">
      <xdr:nvGraphicFramePr>
        <xdr:cNvPr id="8" name="Chart 7">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42542</xdr:colOff>
      <xdr:row>79</xdr:row>
      <xdr:rowOff>845</xdr:rowOff>
    </xdr:from>
    <xdr:to>
      <xdr:col>30</xdr:col>
      <xdr:colOff>167482</xdr:colOff>
      <xdr:row>92</xdr:row>
      <xdr:rowOff>113137</xdr:rowOff>
    </xdr:to>
    <xdr:graphicFrame macro="">
      <xdr:nvGraphicFramePr>
        <xdr:cNvPr id="9" name="Chart 8">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30</xdr:col>
      <xdr:colOff>383117</xdr:colOff>
      <xdr:row>79</xdr:row>
      <xdr:rowOff>9310</xdr:rowOff>
    </xdr:from>
    <xdr:to>
      <xdr:col>36</xdr:col>
      <xdr:colOff>510597</xdr:colOff>
      <xdr:row>92</xdr:row>
      <xdr:rowOff>121602</xdr:rowOff>
    </xdr:to>
    <xdr:graphicFrame macro="">
      <xdr:nvGraphicFramePr>
        <xdr:cNvPr id="10" name="Chart 9">
          <a:extLst>
            <a:ext uri="{FF2B5EF4-FFF2-40B4-BE49-F238E27FC236}">
              <a16:creationId xmlns:a16="http://schemas.microsoft.com/office/drawing/2014/main" id="{00000000-0008-0000-0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169121</xdr:colOff>
      <xdr:row>109</xdr:row>
      <xdr:rowOff>20108</xdr:rowOff>
    </xdr:from>
    <xdr:to>
      <xdr:col>17</xdr:col>
      <xdr:colOff>22916</xdr:colOff>
      <xdr:row>122</xdr:row>
      <xdr:rowOff>128378</xdr:rowOff>
    </xdr:to>
    <xdr:graphicFrame macro="">
      <xdr:nvGraphicFramePr>
        <xdr:cNvPr id="11" name="Chart 10">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356235</xdr:colOff>
      <xdr:row>109</xdr:row>
      <xdr:rowOff>34290</xdr:rowOff>
    </xdr:from>
    <xdr:to>
      <xdr:col>23</xdr:col>
      <xdr:colOff>469745</xdr:colOff>
      <xdr:row>122</xdr:row>
      <xdr:rowOff>143830</xdr:rowOff>
    </xdr:to>
    <xdr:graphicFrame macro="">
      <xdr:nvGraphicFramePr>
        <xdr:cNvPr id="12" name="Chart 11">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74719</xdr:colOff>
      <xdr:row>109</xdr:row>
      <xdr:rowOff>30057</xdr:rowOff>
    </xdr:from>
    <xdr:to>
      <xdr:col>30</xdr:col>
      <xdr:colOff>198389</xdr:colOff>
      <xdr:row>122</xdr:row>
      <xdr:rowOff>137057</xdr:rowOff>
    </xdr:to>
    <xdr:graphicFrame macro="">
      <xdr:nvGraphicFramePr>
        <xdr:cNvPr id="13" name="Chart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30</xdr:col>
      <xdr:colOff>482600</xdr:colOff>
      <xdr:row>109</xdr:row>
      <xdr:rowOff>14605</xdr:rowOff>
    </xdr:from>
    <xdr:to>
      <xdr:col>36</xdr:col>
      <xdr:colOff>606270</xdr:colOff>
      <xdr:row>122</xdr:row>
      <xdr:rowOff>126685</xdr:rowOff>
    </xdr:to>
    <xdr:graphicFrame macro="">
      <xdr:nvGraphicFramePr>
        <xdr:cNvPr id="14" name="Chart 13">
          <a:extLst>
            <a:ext uri="{FF2B5EF4-FFF2-40B4-BE49-F238E27FC236}">
              <a16:creationId xmlns:a16="http://schemas.microsoft.com/office/drawing/2014/main" id="{00000000-0008-0000-04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114724</xdr:colOff>
      <xdr:row>136</xdr:row>
      <xdr:rowOff>27940</xdr:rowOff>
    </xdr:from>
    <xdr:to>
      <xdr:col>16</xdr:col>
      <xdr:colOff>577060</xdr:colOff>
      <xdr:row>149</xdr:row>
      <xdr:rowOff>136210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338455</xdr:colOff>
      <xdr:row>136</xdr:row>
      <xdr:rowOff>35560</xdr:rowOff>
    </xdr:from>
    <xdr:to>
      <xdr:col>23</xdr:col>
      <xdr:colOff>463395</xdr:colOff>
      <xdr:row>149</xdr:row>
      <xdr:rowOff>140020</xdr:rowOff>
    </xdr:to>
    <xdr:graphicFrame macro="">
      <xdr:nvGraphicFramePr>
        <xdr:cNvPr id="16" name="Chart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24</xdr:col>
      <xdr:colOff>93556</xdr:colOff>
      <xdr:row>136</xdr:row>
      <xdr:rowOff>35349</xdr:rowOff>
    </xdr:from>
    <xdr:to>
      <xdr:col>30</xdr:col>
      <xdr:colOff>213416</xdr:colOff>
      <xdr:row>149</xdr:row>
      <xdr:rowOff>143619</xdr:rowOff>
    </xdr:to>
    <xdr:graphicFrame macro="">
      <xdr:nvGraphicFramePr>
        <xdr:cNvPr id="17" name="Chart 16">
          <a:extLst>
            <a:ext uri="{FF2B5EF4-FFF2-40B4-BE49-F238E27FC236}">
              <a16:creationId xmlns:a16="http://schemas.microsoft.com/office/drawing/2014/main" id="{00000000-0008-0000-04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30</xdr:col>
      <xdr:colOff>492231</xdr:colOff>
      <xdr:row>136</xdr:row>
      <xdr:rowOff>28787</xdr:rowOff>
    </xdr:from>
    <xdr:to>
      <xdr:col>37</xdr:col>
      <xdr:colOff>3761</xdr:colOff>
      <xdr:row>149</xdr:row>
      <xdr:rowOff>149757</xdr:rowOff>
    </xdr:to>
    <xdr:graphicFrame macro="">
      <xdr:nvGraphicFramePr>
        <xdr:cNvPr id="18" name="Chart 17">
          <a:extLst>
            <a:ext uri="{FF2B5EF4-FFF2-40B4-BE49-F238E27FC236}">
              <a16:creationId xmlns:a16="http://schemas.microsoft.com/office/drawing/2014/main" id="{00000000-0008-0000-04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154940</xdr:colOff>
      <xdr:row>161</xdr:row>
      <xdr:rowOff>85725</xdr:rowOff>
    </xdr:from>
    <xdr:to>
      <xdr:col>17</xdr:col>
      <xdr:colOff>9370</xdr:colOff>
      <xdr:row>175</xdr:row>
      <xdr:rowOff>14925</xdr:rowOff>
    </xdr:to>
    <xdr:graphicFrame macro="">
      <xdr:nvGraphicFramePr>
        <xdr:cNvPr id="19" name="Chart 18">
          <a:extLst>
            <a:ext uri="{FF2B5EF4-FFF2-40B4-BE49-F238E27FC236}">
              <a16:creationId xmlns:a16="http://schemas.microsoft.com/office/drawing/2014/main" id="{00000000-0008-0000-04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299720</xdr:colOff>
      <xdr:row>161</xdr:row>
      <xdr:rowOff>78105</xdr:rowOff>
    </xdr:from>
    <xdr:to>
      <xdr:col>23</xdr:col>
      <xdr:colOff>492850</xdr:colOff>
      <xdr:row>175</xdr:row>
      <xdr:rowOff>3495</xdr:rowOff>
    </xdr:to>
    <xdr:graphicFrame macro="">
      <xdr:nvGraphicFramePr>
        <xdr:cNvPr id="20" name="Chart 19">
          <a:extLst>
            <a:ext uri="{FF2B5EF4-FFF2-40B4-BE49-F238E27FC236}">
              <a16:creationId xmlns:a16="http://schemas.microsoft.com/office/drawing/2014/main" id="{00000000-0008-0000-04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24</xdr:col>
      <xdr:colOff>143510</xdr:colOff>
      <xdr:row>161</xdr:row>
      <xdr:rowOff>67945</xdr:rowOff>
    </xdr:from>
    <xdr:to>
      <xdr:col>30</xdr:col>
      <xdr:colOff>263370</xdr:colOff>
      <xdr:row>174</xdr:row>
      <xdr:rowOff>181295</xdr:rowOff>
    </xdr:to>
    <xdr:graphicFrame macro="">
      <xdr:nvGraphicFramePr>
        <xdr:cNvPr id="21" name="Chart 20">
          <a:extLst>
            <a:ext uri="{FF2B5EF4-FFF2-40B4-BE49-F238E27FC236}">
              <a16:creationId xmlns:a16="http://schemas.microsoft.com/office/drawing/2014/main" id="{00000000-0008-0000-04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30</xdr:col>
      <xdr:colOff>590551</xdr:colOff>
      <xdr:row>161</xdr:row>
      <xdr:rowOff>73024</xdr:rowOff>
    </xdr:from>
    <xdr:to>
      <xdr:col>37</xdr:col>
      <xdr:colOff>93508</xdr:colOff>
      <xdr:row>175</xdr:row>
      <xdr:rowOff>30164</xdr:rowOff>
    </xdr:to>
    <xdr:graphicFrame macro="">
      <xdr:nvGraphicFramePr>
        <xdr:cNvPr id="22" name="Chart 21">
          <a:extLst>
            <a:ext uri="{FF2B5EF4-FFF2-40B4-BE49-F238E27FC236}">
              <a16:creationId xmlns:a16="http://schemas.microsoft.com/office/drawing/2014/main" id="{00000000-0008-0000-04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565961</xdr:colOff>
      <xdr:row>3</xdr:row>
      <xdr:rowOff>2656</xdr:rowOff>
    </xdr:from>
    <xdr:to>
      <xdr:col>3</xdr:col>
      <xdr:colOff>565961</xdr:colOff>
      <xdr:row>7</xdr:row>
      <xdr:rowOff>2655</xdr:rowOff>
    </xdr:to>
    <xdr:cxnSp macro="">
      <xdr:nvCxnSpPr>
        <xdr:cNvPr id="23" name="Straight Arrow Connector 22">
          <a:extLst>
            <a:ext uri="{FF2B5EF4-FFF2-40B4-BE49-F238E27FC236}">
              <a16:creationId xmlns:a16="http://schemas.microsoft.com/office/drawing/2014/main" id="{00000000-0008-0000-0400-000017000000}"/>
            </a:ext>
          </a:extLst>
        </xdr:cNvPr>
        <xdr:cNvCxnSpPr/>
      </xdr:nvCxnSpPr>
      <xdr:spPr>
        <a:xfrm>
          <a:off x="4180576" y="559502"/>
          <a:ext cx="0" cy="75223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678961</xdr:colOff>
      <xdr:row>9</xdr:row>
      <xdr:rowOff>97692</xdr:rowOff>
    </xdr:from>
    <xdr:to>
      <xdr:col>7</xdr:col>
      <xdr:colOff>604520</xdr:colOff>
      <xdr:row>9</xdr:row>
      <xdr:rowOff>97790</xdr:rowOff>
    </xdr:to>
    <xdr:cxnSp macro="">
      <xdr:nvCxnSpPr>
        <xdr:cNvPr id="24" name="Straight Arrow Connector 23">
          <a:extLst>
            <a:ext uri="{FF2B5EF4-FFF2-40B4-BE49-F238E27FC236}">
              <a16:creationId xmlns:a16="http://schemas.microsoft.com/office/drawing/2014/main" id="{00000000-0008-0000-0400-000018000000}"/>
            </a:ext>
          </a:extLst>
        </xdr:cNvPr>
        <xdr:cNvCxnSpPr/>
      </xdr:nvCxnSpPr>
      <xdr:spPr>
        <a:xfrm>
          <a:off x="5128846" y="1787769"/>
          <a:ext cx="2714674" cy="9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48846</xdr:colOff>
      <xdr:row>9</xdr:row>
      <xdr:rowOff>41448</xdr:rowOff>
    </xdr:from>
    <xdr:to>
      <xdr:col>3</xdr:col>
      <xdr:colOff>3695</xdr:colOff>
      <xdr:row>9</xdr:row>
      <xdr:rowOff>48846</xdr:rowOff>
    </xdr:to>
    <xdr:cxnSp macro="">
      <xdr:nvCxnSpPr>
        <xdr:cNvPr id="25" name="Straight Arrow Connector 24">
          <a:extLst>
            <a:ext uri="{FF2B5EF4-FFF2-40B4-BE49-F238E27FC236}">
              <a16:creationId xmlns:a16="http://schemas.microsoft.com/office/drawing/2014/main" id="{00000000-0008-0000-0400-000019000000}"/>
            </a:ext>
          </a:extLst>
        </xdr:cNvPr>
        <xdr:cNvCxnSpPr/>
      </xdr:nvCxnSpPr>
      <xdr:spPr>
        <a:xfrm flipV="1">
          <a:off x="2398346" y="1731525"/>
          <a:ext cx="1166234" cy="739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217630</xdr:colOff>
      <xdr:row>11</xdr:row>
      <xdr:rowOff>180731</xdr:rowOff>
    </xdr:from>
    <xdr:to>
      <xdr:col>3</xdr:col>
      <xdr:colOff>218208</xdr:colOff>
      <xdr:row>16</xdr:row>
      <xdr:rowOff>177880</xdr:rowOff>
    </xdr:to>
    <xdr:cxnSp macro="">
      <xdr:nvCxnSpPr>
        <xdr:cNvPr id="26" name="Straight Arrow Connector 25">
          <a:extLst>
            <a:ext uri="{FF2B5EF4-FFF2-40B4-BE49-F238E27FC236}">
              <a16:creationId xmlns:a16="http://schemas.microsoft.com/office/drawing/2014/main" id="{00000000-0008-0000-0400-00001A000000}"/>
            </a:ext>
          </a:extLst>
        </xdr:cNvPr>
        <xdr:cNvCxnSpPr/>
      </xdr:nvCxnSpPr>
      <xdr:spPr>
        <a:xfrm>
          <a:off x="3778515" y="2286000"/>
          <a:ext cx="578" cy="92522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4272</xdr:colOff>
      <xdr:row>9</xdr:row>
      <xdr:rowOff>114300</xdr:rowOff>
    </xdr:from>
    <xdr:to>
      <xdr:col>11</xdr:col>
      <xdr:colOff>609600</xdr:colOff>
      <xdr:row>9</xdr:row>
      <xdr:rowOff>116496</xdr:rowOff>
    </xdr:to>
    <xdr:cxnSp macro="">
      <xdr:nvCxnSpPr>
        <xdr:cNvPr id="27" name="Straight Arrow Connector 26">
          <a:extLst>
            <a:ext uri="{FF2B5EF4-FFF2-40B4-BE49-F238E27FC236}">
              <a16:creationId xmlns:a16="http://schemas.microsoft.com/office/drawing/2014/main" id="{00000000-0008-0000-0400-00001B000000}"/>
            </a:ext>
          </a:extLst>
        </xdr:cNvPr>
        <xdr:cNvCxnSpPr/>
      </xdr:nvCxnSpPr>
      <xdr:spPr>
        <a:xfrm flipV="1">
          <a:off x="9016387" y="1794608"/>
          <a:ext cx="2124444" cy="219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469804</xdr:colOff>
      <xdr:row>3</xdr:row>
      <xdr:rowOff>13161</xdr:rowOff>
    </xdr:from>
    <xdr:to>
      <xdr:col>8</xdr:col>
      <xdr:colOff>469804</xdr:colOff>
      <xdr:row>6</xdr:row>
      <xdr:rowOff>181956</xdr:rowOff>
    </xdr:to>
    <xdr:cxnSp macro="">
      <xdr:nvCxnSpPr>
        <xdr:cNvPr id="28" name="Straight Arrow Connector 27">
          <a:extLst>
            <a:ext uri="{FF2B5EF4-FFF2-40B4-BE49-F238E27FC236}">
              <a16:creationId xmlns:a16="http://schemas.microsoft.com/office/drawing/2014/main" id="{00000000-0008-0000-0400-00001C000000}"/>
            </a:ext>
          </a:extLst>
        </xdr:cNvPr>
        <xdr:cNvCxnSpPr/>
      </xdr:nvCxnSpPr>
      <xdr:spPr>
        <a:xfrm>
          <a:off x="9084637" y="579369"/>
          <a:ext cx="0" cy="7244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261044</xdr:colOff>
      <xdr:row>3</xdr:row>
      <xdr:rowOff>25515</xdr:rowOff>
    </xdr:from>
    <xdr:to>
      <xdr:col>14</xdr:col>
      <xdr:colOff>261044</xdr:colOff>
      <xdr:row>7</xdr:row>
      <xdr:rowOff>5194</xdr:rowOff>
    </xdr:to>
    <xdr:cxnSp macro="">
      <xdr:nvCxnSpPr>
        <xdr:cNvPr id="29" name="Straight Arrow Connector 28">
          <a:extLst>
            <a:ext uri="{FF2B5EF4-FFF2-40B4-BE49-F238E27FC236}">
              <a16:creationId xmlns:a16="http://schemas.microsoft.com/office/drawing/2014/main" id="{00000000-0008-0000-0400-00001D000000}"/>
            </a:ext>
          </a:extLst>
        </xdr:cNvPr>
        <xdr:cNvCxnSpPr/>
      </xdr:nvCxnSpPr>
      <xdr:spPr>
        <a:xfrm>
          <a:off x="12921967" y="582361"/>
          <a:ext cx="0" cy="73191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608214</xdr:colOff>
      <xdr:row>9</xdr:row>
      <xdr:rowOff>101600</xdr:rowOff>
    </xdr:from>
    <xdr:to>
      <xdr:col>16</xdr:col>
      <xdr:colOff>488950</xdr:colOff>
      <xdr:row>9</xdr:row>
      <xdr:rowOff>103334</xdr:rowOff>
    </xdr:to>
    <xdr:cxnSp macro="">
      <xdr:nvCxnSpPr>
        <xdr:cNvPr id="30" name="Straight Arrow Connector 29">
          <a:extLst>
            <a:ext uri="{FF2B5EF4-FFF2-40B4-BE49-F238E27FC236}">
              <a16:creationId xmlns:a16="http://schemas.microsoft.com/office/drawing/2014/main" id="{00000000-0008-0000-0400-00001E000000}"/>
            </a:ext>
          </a:extLst>
        </xdr:cNvPr>
        <xdr:cNvCxnSpPr/>
      </xdr:nvCxnSpPr>
      <xdr:spPr>
        <a:xfrm flipV="1">
          <a:off x="13269137" y="1781908"/>
          <a:ext cx="1101890" cy="173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843770</xdr:colOff>
      <xdr:row>1</xdr:row>
      <xdr:rowOff>142436</xdr:rowOff>
    </xdr:from>
    <xdr:to>
      <xdr:col>18</xdr:col>
      <xdr:colOff>411578</xdr:colOff>
      <xdr:row>18</xdr:row>
      <xdr:rowOff>43180</xdr:rowOff>
    </xdr:to>
    <xdr:sp macro="" textlink="">
      <xdr:nvSpPr>
        <xdr:cNvPr id="31" name="Rectangle 30">
          <a:extLst>
            <a:ext uri="{FF2B5EF4-FFF2-40B4-BE49-F238E27FC236}">
              <a16:creationId xmlns:a16="http://schemas.microsoft.com/office/drawing/2014/main" id="{00000000-0008-0000-0400-00001F000000}"/>
            </a:ext>
          </a:extLst>
        </xdr:cNvPr>
        <xdr:cNvSpPr/>
      </xdr:nvSpPr>
      <xdr:spPr>
        <a:xfrm>
          <a:off x="9714232" y="328051"/>
          <a:ext cx="5605192" cy="3129475"/>
        </a:xfrm>
        <a:prstGeom prst="rect">
          <a:avLst/>
        </a:prstGeom>
        <a:noFill/>
        <a:ln w="1905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433824</xdr:colOff>
      <xdr:row>12</xdr:row>
      <xdr:rowOff>3811</xdr:rowOff>
    </xdr:from>
    <xdr:to>
      <xdr:col>4</xdr:col>
      <xdr:colOff>434402</xdr:colOff>
      <xdr:row>17</xdr:row>
      <xdr:rowOff>2230</xdr:rowOff>
    </xdr:to>
    <xdr:cxnSp macro="">
      <xdr:nvCxnSpPr>
        <xdr:cNvPr id="32" name="Straight Arrow Connector 31">
          <a:extLst>
            <a:ext uri="{FF2B5EF4-FFF2-40B4-BE49-F238E27FC236}">
              <a16:creationId xmlns:a16="http://schemas.microsoft.com/office/drawing/2014/main" id="{00000000-0008-0000-0400-000020000000}"/>
            </a:ext>
          </a:extLst>
        </xdr:cNvPr>
        <xdr:cNvCxnSpPr/>
      </xdr:nvCxnSpPr>
      <xdr:spPr>
        <a:xfrm>
          <a:off x="4883709" y="2294696"/>
          <a:ext cx="578" cy="92649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483139</xdr:colOff>
      <xdr:row>12</xdr:row>
      <xdr:rowOff>5329</xdr:rowOff>
    </xdr:from>
    <xdr:to>
      <xdr:col>8</xdr:col>
      <xdr:colOff>483139</xdr:colOff>
      <xdr:row>15</xdr:row>
      <xdr:rowOff>180474</xdr:rowOff>
    </xdr:to>
    <xdr:cxnSp macro="">
      <xdr:nvCxnSpPr>
        <xdr:cNvPr id="33" name="Straight Arrow Connector 32">
          <a:extLst>
            <a:ext uri="{FF2B5EF4-FFF2-40B4-BE49-F238E27FC236}">
              <a16:creationId xmlns:a16="http://schemas.microsoft.com/office/drawing/2014/main" id="{00000000-0008-0000-0400-000021000000}"/>
            </a:ext>
          </a:extLst>
        </xdr:cNvPr>
        <xdr:cNvCxnSpPr/>
      </xdr:nvCxnSpPr>
      <xdr:spPr>
        <a:xfrm>
          <a:off x="9097972" y="2291329"/>
          <a:ext cx="0" cy="73077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270411</xdr:colOff>
      <xdr:row>86</xdr:row>
      <xdr:rowOff>53974</xdr:rowOff>
    </xdr:from>
    <xdr:to>
      <xdr:col>40</xdr:col>
      <xdr:colOff>87313</xdr:colOff>
      <xdr:row>112</xdr:row>
      <xdr:rowOff>129857</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1062108</xdr:colOff>
      <xdr:row>3</xdr:row>
      <xdr:rowOff>11970</xdr:rowOff>
    </xdr:from>
    <xdr:to>
      <xdr:col>3</xdr:col>
      <xdr:colOff>1062108</xdr:colOff>
      <xdr:row>7</xdr:row>
      <xdr:rowOff>11969</xdr:rowOff>
    </xdr:to>
    <xdr:cxnSp macro="">
      <xdr:nvCxnSpPr>
        <xdr:cNvPr id="7" name="Straight Arrow Connector 6">
          <a:extLst>
            <a:ext uri="{FF2B5EF4-FFF2-40B4-BE49-F238E27FC236}">
              <a16:creationId xmlns:a16="http://schemas.microsoft.com/office/drawing/2014/main" id="{00000000-0008-0000-0500-000007000000}"/>
            </a:ext>
          </a:extLst>
        </xdr:cNvPr>
        <xdr:cNvCxnSpPr/>
      </xdr:nvCxnSpPr>
      <xdr:spPr>
        <a:xfrm>
          <a:off x="6576025" y="578178"/>
          <a:ext cx="0" cy="740833"/>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5139</xdr:colOff>
      <xdr:row>9</xdr:row>
      <xdr:rowOff>85632</xdr:rowOff>
    </xdr:from>
    <xdr:to>
      <xdr:col>6</xdr:col>
      <xdr:colOff>1000125</xdr:colOff>
      <xdr:row>9</xdr:row>
      <xdr:rowOff>95250</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a:off x="7704514" y="1773674"/>
          <a:ext cx="2074486" cy="961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55563</xdr:colOff>
      <xdr:row>9</xdr:row>
      <xdr:rowOff>31750</xdr:rowOff>
    </xdr:from>
    <xdr:to>
      <xdr:col>3</xdr:col>
      <xdr:colOff>6235</xdr:colOff>
      <xdr:row>9</xdr:row>
      <xdr:rowOff>41448</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a:off x="3611563" y="1706563"/>
          <a:ext cx="1903297" cy="969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330026</xdr:colOff>
      <xdr:row>11</xdr:row>
      <xdr:rowOff>183938</xdr:rowOff>
    </xdr:from>
    <xdr:to>
      <xdr:col>3</xdr:col>
      <xdr:colOff>330604</xdr:colOff>
      <xdr:row>16</xdr:row>
      <xdr:rowOff>181495</xdr:rowOff>
    </xdr:to>
    <xdr:cxnSp macro="">
      <xdr:nvCxnSpPr>
        <xdr:cNvPr id="10" name="Straight Arrow Connector 9">
          <a:extLst>
            <a:ext uri="{FF2B5EF4-FFF2-40B4-BE49-F238E27FC236}">
              <a16:creationId xmlns:a16="http://schemas.microsoft.com/office/drawing/2014/main" id="{00000000-0008-0000-0500-00000A000000}"/>
            </a:ext>
          </a:extLst>
        </xdr:cNvPr>
        <xdr:cNvCxnSpPr/>
      </xdr:nvCxnSpPr>
      <xdr:spPr>
        <a:xfrm>
          <a:off x="5843943" y="2284730"/>
          <a:ext cx="578" cy="92359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5292</xdr:colOff>
      <xdr:row>9</xdr:row>
      <xdr:rowOff>100541</xdr:rowOff>
    </xdr:from>
    <xdr:to>
      <xdr:col>9</xdr:col>
      <xdr:colOff>1320800</xdr:colOff>
      <xdr:row>9</xdr:row>
      <xdr:rowOff>116416</xdr:rowOff>
    </xdr:to>
    <xdr:cxnSp macro="">
      <xdr:nvCxnSpPr>
        <xdr:cNvPr id="11" name="Straight Arrow Connector 10">
          <a:extLst>
            <a:ext uri="{FF2B5EF4-FFF2-40B4-BE49-F238E27FC236}">
              <a16:creationId xmlns:a16="http://schemas.microsoft.com/office/drawing/2014/main" id="{00000000-0008-0000-0500-00000B000000}"/>
            </a:ext>
          </a:extLst>
        </xdr:cNvPr>
        <xdr:cNvCxnSpPr/>
      </xdr:nvCxnSpPr>
      <xdr:spPr>
        <a:xfrm>
          <a:off x="10689167" y="1788583"/>
          <a:ext cx="2294466" cy="1587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430222</xdr:colOff>
      <xdr:row>3</xdr:row>
      <xdr:rowOff>9140</xdr:rowOff>
    </xdr:from>
    <xdr:to>
      <xdr:col>7</xdr:col>
      <xdr:colOff>430222</xdr:colOff>
      <xdr:row>6</xdr:row>
      <xdr:rowOff>177935</xdr:rowOff>
    </xdr:to>
    <xdr:cxnSp macro="">
      <xdr:nvCxnSpPr>
        <xdr:cNvPr id="12" name="Straight Arrow Connector 11">
          <a:extLst>
            <a:ext uri="{FF2B5EF4-FFF2-40B4-BE49-F238E27FC236}">
              <a16:creationId xmlns:a16="http://schemas.microsoft.com/office/drawing/2014/main" id="{00000000-0008-0000-0500-00000C000000}"/>
            </a:ext>
          </a:extLst>
        </xdr:cNvPr>
        <xdr:cNvCxnSpPr/>
      </xdr:nvCxnSpPr>
      <xdr:spPr>
        <a:xfrm>
          <a:off x="10230389" y="575348"/>
          <a:ext cx="0" cy="7244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726711</xdr:colOff>
      <xdr:row>3</xdr:row>
      <xdr:rowOff>20223</xdr:rowOff>
    </xdr:from>
    <xdr:to>
      <xdr:col>10</xdr:col>
      <xdr:colOff>726711</xdr:colOff>
      <xdr:row>6</xdr:row>
      <xdr:rowOff>185111</xdr:rowOff>
    </xdr:to>
    <xdr:cxnSp macro="">
      <xdr:nvCxnSpPr>
        <xdr:cNvPr id="13" name="Straight Arrow Connector 12">
          <a:extLst>
            <a:ext uri="{FF2B5EF4-FFF2-40B4-BE49-F238E27FC236}">
              <a16:creationId xmlns:a16="http://schemas.microsoft.com/office/drawing/2014/main" id="{00000000-0008-0000-0500-00000D000000}"/>
            </a:ext>
          </a:extLst>
        </xdr:cNvPr>
        <xdr:cNvCxnSpPr/>
      </xdr:nvCxnSpPr>
      <xdr:spPr>
        <a:xfrm>
          <a:off x="12871086" y="586431"/>
          <a:ext cx="0" cy="720513"/>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1523673</xdr:colOff>
      <xdr:row>9</xdr:row>
      <xdr:rowOff>128059</xdr:rowOff>
    </xdr:from>
    <xdr:to>
      <xdr:col>12</xdr:col>
      <xdr:colOff>12700</xdr:colOff>
      <xdr:row>9</xdr:row>
      <xdr:rowOff>129793</xdr:rowOff>
    </xdr:to>
    <xdr:cxnSp macro="">
      <xdr:nvCxnSpPr>
        <xdr:cNvPr id="14" name="Straight Arrow Connector 13">
          <a:extLst>
            <a:ext uri="{FF2B5EF4-FFF2-40B4-BE49-F238E27FC236}">
              <a16:creationId xmlns:a16="http://schemas.microsoft.com/office/drawing/2014/main" id="{00000000-0008-0000-0500-00000E000000}"/>
            </a:ext>
          </a:extLst>
        </xdr:cNvPr>
        <xdr:cNvCxnSpPr/>
      </xdr:nvCxnSpPr>
      <xdr:spPr>
        <a:xfrm flipV="1">
          <a:off x="13668048" y="1816101"/>
          <a:ext cx="1097819" cy="173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617855</xdr:colOff>
      <xdr:row>1</xdr:row>
      <xdr:rowOff>162137</xdr:rowOff>
    </xdr:from>
    <xdr:to>
      <xdr:col>13</xdr:col>
      <xdr:colOff>263525</xdr:colOff>
      <xdr:row>18</xdr:row>
      <xdr:rowOff>73448</xdr:rowOff>
    </xdr:to>
    <xdr:sp macro="" textlink="">
      <xdr:nvSpPr>
        <xdr:cNvPr id="15" name="Rectangle 14">
          <a:extLst>
            <a:ext uri="{FF2B5EF4-FFF2-40B4-BE49-F238E27FC236}">
              <a16:creationId xmlns:a16="http://schemas.microsoft.com/office/drawing/2014/main" id="{00000000-0008-0000-0500-00000F000000}"/>
            </a:ext>
          </a:extLst>
        </xdr:cNvPr>
        <xdr:cNvSpPr/>
      </xdr:nvSpPr>
      <xdr:spPr>
        <a:xfrm>
          <a:off x="1226397" y="347345"/>
          <a:ext cx="15912253" cy="3123353"/>
        </a:xfrm>
        <a:prstGeom prst="rect">
          <a:avLst/>
        </a:prstGeom>
        <a:noFill/>
        <a:ln w="1905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23811</xdr:colOff>
      <xdr:row>57</xdr:row>
      <xdr:rowOff>180657</xdr:rowOff>
    </xdr:from>
    <xdr:to>
      <xdr:col>26</xdr:col>
      <xdr:colOff>161924</xdr:colOff>
      <xdr:row>84</xdr:row>
      <xdr:rowOff>105727</xdr:rowOff>
    </xdr:to>
    <xdr:graphicFrame macro="">
      <xdr:nvGraphicFramePr>
        <xdr:cNvPr id="24" name="Chart 23">
          <a:extLst>
            <a:ext uri="{FF2B5EF4-FFF2-40B4-BE49-F238E27FC236}">
              <a16:creationId xmlns:a16="http://schemas.microsoft.com/office/drawing/2014/main" id="{00000000-0008-0000-05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288923</xdr:colOff>
      <xdr:row>57</xdr:row>
      <xdr:rowOff>164782</xdr:rowOff>
    </xdr:from>
    <xdr:to>
      <xdr:col>40</xdr:col>
      <xdr:colOff>11111</xdr:colOff>
      <xdr:row>84</xdr:row>
      <xdr:rowOff>96202</xdr:rowOff>
    </xdr:to>
    <xdr:graphicFrame macro="">
      <xdr:nvGraphicFramePr>
        <xdr:cNvPr id="25" name="Chart 24">
          <a:extLst>
            <a:ext uri="{FF2B5EF4-FFF2-40B4-BE49-F238E27FC236}">
              <a16:creationId xmlns:a16="http://schemas.microsoft.com/office/drawing/2014/main" id="{00000000-0008-0000-05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53973</xdr:colOff>
      <xdr:row>86</xdr:row>
      <xdr:rowOff>11748</xdr:rowOff>
    </xdr:from>
    <xdr:to>
      <xdr:col>26</xdr:col>
      <xdr:colOff>134937</xdr:colOff>
      <xdr:row>112</xdr:row>
      <xdr:rowOff>97791</xdr:rowOff>
    </xdr:to>
    <xdr:graphicFrame macro="">
      <xdr:nvGraphicFramePr>
        <xdr:cNvPr id="26" name="Chart 25">
          <a:extLst>
            <a:ext uri="{FF2B5EF4-FFF2-40B4-BE49-F238E27FC236}">
              <a16:creationId xmlns:a16="http://schemas.microsoft.com/office/drawing/2014/main" id="{00000000-0008-0000-05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1313496</xdr:colOff>
      <xdr:row>3</xdr:row>
      <xdr:rowOff>1270</xdr:rowOff>
    </xdr:from>
    <xdr:to>
      <xdr:col>2</xdr:col>
      <xdr:colOff>482917</xdr:colOff>
      <xdr:row>14</xdr:row>
      <xdr:rowOff>113665</xdr:rowOff>
    </xdr:to>
    <xdr:sp macro="" textlink="">
      <xdr:nvSpPr>
        <xdr:cNvPr id="16" name="Isosceles Triangle 15">
          <a:extLst>
            <a:ext uri="{FF2B5EF4-FFF2-40B4-BE49-F238E27FC236}">
              <a16:creationId xmlns:a16="http://schemas.microsoft.com/office/drawing/2014/main" id="{00000000-0008-0000-0500-000010000000}"/>
            </a:ext>
          </a:extLst>
        </xdr:cNvPr>
        <xdr:cNvSpPr/>
      </xdr:nvSpPr>
      <xdr:spPr>
        <a:xfrm>
          <a:off x="1924684" y="564833"/>
          <a:ext cx="2114233" cy="2184082"/>
        </a:xfrm>
        <a:prstGeom prst="triangle">
          <a:avLst/>
        </a:prstGeom>
        <a:noFill/>
        <a:ln w="28575">
          <a:solidFill>
            <a:schemeClr val="accent6">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b="1">
              <a:solidFill>
                <a:schemeClr val="tx1"/>
              </a:solidFill>
            </a:rPr>
            <a:t>Feedstock collection and</a:t>
          </a:r>
          <a:r>
            <a:rPr lang="en-GB" sz="1400" b="1" baseline="0">
              <a:solidFill>
                <a:schemeClr val="tx1"/>
              </a:solidFill>
            </a:rPr>
            <a:t> prepration </a:t>
          </a:r>
          <a:r>
            <a:rPr lang="en-GB" sz="1400" b="1">
              <a:solidFill>
                <a:schemeClr val="tx1"/>
              </a:solidFill>
            </a:rPr>
            <a:t> </a:t>
          </a:r>
          <a:endParaRPr lang="en-NL" sz="1400" b="1">
            <a:solidFill>
              <a:schemeClr val="tx1"/>
            </a:solidFill>
          </a:endParaRPr>
        </a:p>
      </xdr:txBody>
    </xdr:sp>
    <xdr:clientData/>
  </xdr:twoCellAnchor>
  <xdr:twoCellAnchor>
    <xdr:from>
      <xdr:col>4</xdr:col>
      <xdr:colOff>609215</xdr:colOff>
      <xdr:row>12</xdr:row>
      <xdr:rowOff>1270</xdr:rowOff>
    </xdr:from>
    <xdr:to>
      <xdr:col>4</xdr:col>
      <xdr:colOff>609793</xdr:colOff>
      <xdr:row>17</xdr:row>
      <xdr:rowOff>96</xdr:rowOff>
    </xdr:to>
    <xdr:cxnSp macro="">
      <xdr:nvCxnSpPr>
        <xdr:cNvPr id="17" name="Straight Arrow Connector 16">
          <a:extLst>
            <a:ext uri="{FF2B5EF4-FFF2-40B4-BE49-F238E27FC236}">
              <a16:creationId xmlns:a16="http://schemas.microsoft.com/office/drawing/2014/main" id="{00000000-0008-0000-0500-000011000000}"/>
            </a:ext>
          </a:extLst>
        </xdr:cNvPr>
        <xdr:cNvCxnSpPr/>
      </xdr:nvCxnSpPr>
      <xdr:spPr>
        <a:xfrm>
          <a:off x="7419590" y="2287270"/>
          <a:ext cx="578" cy="92486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422179</xdr:colOff>
      <xdr:row>12</xdr:row>
      <xdr:rowOff>8928</xdr:rowOff>
    </xdr:from>
    <xdr:to>
      <xdr:col>7</xdr:col>
      <xdr:colOff>422179</xdr:colOff>
      <xdr:row>15</xdr:row>
      <xdr:rowOff>184073</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a:off x="10290079" y="2288578"/>
          <a:ext cx="0" cy="72759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40181</xdr:colOff>
      <xdr:row>2</xdr:row>
      <xdr:rowOff>193156</xdr:rowOff>
    </xdr:from>
    <xdr:to>
      <xdr:col>7</xdr:col>
      <xdr:colOff>40181</xdr:colOff>
      <xdr:row>6</xdr:row>
      <xdr:rowOff>180455</xdr:rowOff>
    </xdr:to>
    <xdr:cxnSp macro="">
      <xdr:nvCxnSpPr>
        <xdr:cNvPr id="2" name="Straight Arrow Connector 1">
          <a:extLst>
            <a:ext uri="{FF2B5EF4-FFF2-40B4-BE49-F238E27FC236}">
              <a16:creationId xmlns:a16="http://schemas.microsoft.com/office/drawing/2014/main" id="{00000000-0008-0000-0600-000002000000}"/>
            </a:ext>
          </a:extLst>
        </xdr:cNvPr>
        <xdr:cNvCxnSpPr/>
      </xdr:nvCxnSpPr>
      <xdr:spPr>
        <a:xfrm>
          <a:off x="6231431" y="561456"/>
          <a:ext cx="0" cy="73659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21167</xdr:colOff>
      <xdr:row>9</xdr:row>
      <xdr:rowOff>79375</xdr:rowOff>
    </xdr:from>
    <xdr:to>
      <xdr:col>9</xdr:col>
      <xdr:colOff>2015490</xdr:colOff>
      <xdr:row>9</xdr:row>
      <xdr:rowOff>82550</xdr:rowOff>
    </xdr:to>
    <xdr:cxnSp macro="">
      <xdr:nvCxnSpPr>
        <xdr:cNvPr id="3" name="Straight Arrow Connector 2">
          <a:extLst>
            <a:ext uri="{FF2B5EF4-FFF2-40B4-BE49-F238E27FC236}">
              <a16:creationId xmlns:a16="http://schemas.microsoft.com/office/drawing/2014/main" id="{00000000-0008-0000-0600-000003000000}"/>
            </a:ext>
          </a:extLst>
        </xdr:cNvPr>
        <xdr:cNvCxnSpPr/>
      </xdr:nvCxnSpPr>
      <xdr:spPr>
        <a:xfrm>
          <a:off x="8085667" y="1830917"/>
          <a:ext cx="2602865" cy="317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637657</xdr:colOff>
      <xdr:row>9</xdr:row>
      <xdr:rowOff>65578</xdr:rowOff>
    </xdr:from>
    <xdr:to>
      <xdr:col>6</xdr:col>
      <xdr:colOff>35445</xdr:colOff>
      <xdr:row>9</xdr:row>
      <xdr:rowOff>65578</xdr:rowOff>
    </xdr:to>
    <xdr:cxnSp macro="">
      <xdr:nvCxnSpPr>
        <xdr:cNvPr id="4" name="Straight Arrow Connector 3">
          <a:extLst>
            <a:ext uri="{FF2B5EF4-FFF2-40B4-BE49-F238E27FC236}">
              <a16:creationId xmlns:a16="http://schemas.microsoft.com/office/drawing/2014/main" id="{00000000-0008-0000-0600-000004000000}"/>
            </a:ext>
          </a:extLst>
        </xdr:cNvPr>
        <xdr:cNvCxnSpPr/>
      </xdr:nvCxnSpPr>
      <xdr:spPr>
        <a:xfrm>
          <a:off x="4511157" y="1748328"/>
          <a:ext cx="1594888"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156035</xdr:colOff>
      <xdr:row>11</xdr:row>
      <xdr:rowOff>184997</xdr:rowOff>
    </xdr:from>
    <xdr:to>
      <xdr:col>6</xdr:col>
      <xdr:colOff>156613</xdr:colOff>
      <xdr:row>16</xdr:row>
      <xdr:rowOff>183613</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a:off x="6892327" y="2349289"/>
          <a:ext cx="578" cy="92465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4272</xdr:colOff>
      <xdr:row>9</xdr:row>
      <xdr:rowOff>114300</xdr:rowOff>
    </xdr:from>
    <xdr:to>
      <xdr:col>13</xdr:col>
      <xdr:colOff>711200</xdr:colOff>
      <xdr:row>9</xdr:row>
      <xdr:rowOff>116496</xdr:rowOff>
    </xdr:to>
    <xdr:cxnSp macro="">
      <xdr:nvCxnSpPr>
        <xdr:cNvPr id="6" name="Straight Arrow Connector 5">
          <a:extLst>
            <a:ext uri="{FF2B5EF4-FFF2-40B4-BE49-F238E27FC236}">
              <a16:creationId xmlns:a16="http://schemas.microsoft.com/office/drawing/2014/main" id="{00000000-0008-0000-0600-000006000000}"/>
            </a:ext>
          </a:extLst>
        </xdr:cNvPr>
        <xdr:cNvCxnSpPr/>
      </xdr:nvCxnSpPr>
      <xdr:spPr>
        <a:xfrm flipV="1">
          <a:off x="9681672" y="1797050"/>
          <a:ext cx="3564428" cy="219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951346</xdr:colOff>
      <xdr:row>3</xdr:row>
      <xdr:rowOff>15701</xdr:rowOff>
    </xdr:from>
    <xdr:to>
      <xdr:col>10</xdr:col>
      <xdr:colOff>951346</xdr:colOff>
      <xdr:row>6</xdr:row>
      <xdr:rowOff>180686</xdr:rowOff>
    </xdr:to>
    <xdr:cxnSp macro="">
      <xdr:nvCxnSpPr>
        <xdr:cNvPr id="7" name="Straight Arrow Connector 6">
          <a:extLst>
            <a:ext uri="{FF2B5EF4-FFF2-40B4-BE49-F238E27FC236}">
              <a16:creationId xmlns:a16="http://schemas.microsoft.com/office/drawing/2014/main" id="{00000000-0008-0000-0600-000007000000}"/>
            </a:ext>
          </a:extLst>
        </xdr:cNvPr>
        <xdr:cNvCxnSpPr/>
      </xdr:nvCxnSpPr>
      <xdr:spPr>
        <a:xfrm>
          <a:off x="8558646" y="580851"/>
          <a:ext cx="0" cy="71743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255964</xdr:colOff>
      <xdr:row>3</xdr:row>
      <xdr:rowOff>40755</xdr:rowOff>
    </xdr:from>
    <xdr:to>
      <xdr:col>15</xdr:col>
      <xdr:colOff>255964</xdr:colOff>
      <xdr:row>7</xdr:row>
      <xdr:rowOff>16624</xdr:rowOff>
    </xdr:to>
    <xdr:cxnSp macro="">
      <xdr:nvCxnSpPr>
        <xdr:cNvPr id="8" name="Straight Arrow Connector 7">
          <a:extLst>
            <a:ext uri="{FF2B5EF4-FFF2-40B4-BE49-F238E27FC236}">
              <a16:creationId xmlns:a16="http://schemas.microsoft.com/office/drawing/2014/main" id="{00000000-0008-0000-0600-000008000000}"/>
            </a:ext>
          </a:extLst>
        </xdr:cNvPr>
        <xdr:cNvCxnSpPr/>
      </xdr:nvCxnSpPr>
      <xdr:spPr>
        <a:xfrm>
          <a:off x="15038764" y="605905"/>
          <a:ext cx="0" cy="71246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608214</xdr:colOff>
      <xdr:row>9</xdr:row>
      <xdr:rowOff>101600</xdr:rowOff>
    </xdr:from>
    <xdr:to>
      <xdr:col>18</xdr:col>
      <xdr:colOff>488950</xdr:colOff>
      <xdr:row>9</xdr:row>
      <xdr:rowOff>103334</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flipV="1">
          <a:off x="15092564" y="1784350"/>
          <a:ext cx="1099936" cy="173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402590</xdr:colOff>
      <xdr:row>2</xdr:row>
      <xdr:rowOff>26670</xdr:rowOff>
    </xdr:from>
    <xdr:to>
      <xdr:col>13</xdr:col>
      <xdr:colOff>566208</xdr:colOff>
      <xdr:row>18</xdr:row>
      <xdr:rowOff>110490</xdr:rowOff>
    </xdr:to>
    <xdr:sp macro="" textlink="">
      <xdr:nvSpPr>
        <xdr:cNvPr id="19" name="Rectangle 18">
          <a:extLst>
            <a:ext uri="{FF2B5EF4-FFF2-40B4-BE49-F238E27FC236}">
              <a16:creationId xmlns:a16="http://schemas.microsoft.com/office/drawing/2014/main" id="{00000000-0008-0000-0600-000013000000}"/>
            </a:ext>
          </a:extLst>
        </xdr:cNvPr>
        <xdr:cNvSpPr/>
      </xdr:nvSpPr>
      <xdr:spPr>
        <a:xfrm>
          <a:off x="4937548" y="450003"/>
          <a:ext cx="9932035" cy="3121237"/>
        </a:xfrm>
        <a:prstGeom prst="rect">
          <a:avLst/>
        </a:prstGeom>
        <a:noFill/>
        <a:ln w="1905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583390</xdr:colOff>
      <xdr:row>12</xdr:row>
      <xdr:rowOff>16934</xdr:rowOff>
    </xdr:from>
    <xdr:to>
      <xdr:col>7</xdr:col>
      <xdr:colOff>583390</xdr:colOff>
      <xdr:row>17</xdr:row>
      <xdr:rowOff>16819</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a:off x="7928223" y="2366434"/>
          <a:ext cx="0" cy="92592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1012729</xdr:colOff>
      <xdr:row>11</xdr:row>
      <xdr:rowOff>182706</xdr:rowOff>
    </xdr:from>
    <xdr:to>
      <xdr:col>10</xdr:col>
      <xdr:colOff>1012729</xdr:colOff>
      <xdr:row>15</xdr:row>
      <xdr:rowOff>165023</xdr:rowOff>
    </xdr:to>
    <xdr:cxnSp macro="">
      <xdr:nvCxnSpPr>
        <xdr:cNvPr id="12" name="Straight Arrow Connector 11">
          <a:extLst>
            <a:ext uri="{FF2B5EF4-FFF2-40B4-BE49-F238E27FC236}">
              <a16:creationId xmlns:a16="http://schemas.microsoft.com/office/drawing/2014/main" id="{00000000-0008-0000-0600-00000C000000}"/>
            </a:ext>
          </a:extLst>
        </xdr:cNvPr>
        <xdr:cNvCxnSpPr/>
      </xdr:nvCxnSpPr>
      <xdr:spPr>
        <a:xfrm>
          <a:off x="11717771" y="2352289"/>
          <a:ext cx="0" cy="728442"/>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410924</xdr:colOff>
      <xdr:row>2</xdr:row>
      <xdr:rowOff>183386</xdr:rowOff>
    </xdr:from>
    <xdr:to>
      <xdr:col>3</xdr:col>
      <xdr:colOff>410924</xdr:colOff>
      <xdr:row>6</xdr:row>
      <xdr:rowOff>173616</xdr:rowOff>
    </xdr:to>
    <xdr:cxnSp macro="">
      <xdr:nvCxnSpPr>
        <xdr:cNvPr id="2" name="Straight Arrow Connector 1">
          <a:extLst>
            <a:ext uri="{FF2B5EF4-FFF2-40B4-BE49-F238E27FC236}">
              <a16:creationId xmlns:a16="http://schemas.microsoft.com/office/drawing/2014/main" id="{00000000-0008-0000-0700-000002000000}"/>
            </a:ext>
          </a:extLst>
        </xdr:cNvPr>
        <xdr:cNvCxnSpPr/>
      </xdr:nvCxnSpPr>
      <xdr:spPr>
        <a:xfrm>
          <a:off x="4772886" y="554617"/>
          <a:ext cx="0" cy="742461"/>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9</xdr:row>
      <xdr:rowOff>85384</xdr:rowOff>
    </xdr:from>
    <xdr:to>
      <xdr:col>7</xdr:col>
      <xdr:colOff>567886</xdr:colOff>
      <xdr:row>9</xdr:row>
      <xdr:rowOff>87630</xdr:rowOff>
    </xdr:to>
    <xdr:cxnSp macro="">
      <xdr:nvCxnSpPr>
        <xdr:cNvPr id="3" name="Straight Arrow Connector 2">
          <a:extLst>
            <a:ext uri="{FF2B5EF4-FFF2-40B4-BE49-F238E27FC236}">
              <a16:creationId xmlns:a16="http://schemas.microsoft.com/office/drawing/2014/main" id="{00000000-0008-0000-0700-000003000000}"/>
            </a:ext>
          </a:extLst>
        </xdr:cNvPr>
        <xdr:cNvCxnSpPr/>
      </xdr:nvCxnSpPr>
      <xdr:spPr>
        <a:xfrm flipV="1">
          <a:off x="5924550" y="1761784"/>
          <a:ext cx="2758636" cy="224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971550</xdr:colOff>
      <xdr:row>9</xdr:row>
      <xdr:rowOff>50800</xdr:rowOff>
    </xdr:from>
    <xdr:to>
      <xdr:col>2</xdr:col>
      <xdr:colOff>2180883</xdr:colOff>
      <xdr:row>9</xdr:row>
      <xdr:rowOff>51191</xdr:rowOff>
    </xdr:to>
    <xdr:cxnSp macro="">
      <xdr:nvCxnSpPr>
        <xdr:cNvPr id="4" name="Straight Arrow Connector 3">
          <a:extLst>
            <a:ext uri="{FF2B5EF4-FFF2-40B4-BE49-F238E27FC236}">
              <a16:creationId xmlns:a16="http://schemas.microsoft.com/office/drawing/2014/main" id="{00000000-0008-0000-0700-000004000000}"/>
            </a:ext>
          </a:extLst>
        </xdr:cNvPr>
        <xdr:cNvCxnSpPr/>
      </xdr:nvCxnSpPr>
      <xdr:spPr>
        <a:xfrm>
          <a:off x="3130550" y="1733550"/>
          <a:ext cx="1209333" cy="391"/>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176014</xdr:colOff>
      <xdr:row>12</xdr:row>
      <xdr:rowOff>880</xdr:rowOff>
    </xdr:from>
    <xdr:to>
      <xdr:col>3</xdr:col>
      <xdr:colOff>176014</xdr:colOff>
      <xdr:row>16</xdr:row>
      <xdr:rowOff>182179</xdr:rowOff>
    </xdr:to>
    <xdr:cxnSp macro="">
      <xdr:nvCxnSpPr>
        <xdr:cNvPr id="5" name="Straight Arrow Connector 4">
          <a:extLst>
            <a:ext uri="{FF2B5EF4-FFF2-40B4-BE49-F238E27FC236}">
              <a16:creationId xmlns:a16="http://schemas.microsoft.com/office/drawing/2014/main" id="{00000000-0008-0000-0700-000005000000}"/>
            </a:ext>
          </a:extLst>
        </xdr:cNvPr>
        <xdr:cNvCxnSpPr/>
      </xdr:nvCxnSpPr>
      <xdr:spPr>
        <a:xfrm>
          <a:off x="4538464" y="2280530"/>
          <a:ext cx="0" cy="93059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3002</xdr:colOff>
      <xdr:row>9</xdr:row>
      <xdr:rowOff>116496</xdr:rowOff>
    </xdr:from>
    <xdr:to>
      <xdr:col>12</xdr:col>
      <xdr:colOff>952500</xdr:colOff>
      <xdr:row>9</xdr:row>
      <xdr:rowOff>117231</xdr:rowOff>
    </xdr:to>
    <xdr:cxnSp macro="">
      <xdr:nvCxnSpPr>
        <xdr:cNvPr id="6" name="Straight Arrow Connector 5">
          <a:extLst>
            <a:ext uri="{FF2B5EF4-FFF2-40B4-BE49-F238E27FC236}">
              <a16:creationId xmlns:a16="http://schemas.microsoft.com/office/drawing/2014/main" id="{00000000-0008-0000-0700-000006000000}"/>
            </a:ext>
          </a:extLst>
        </xdr:cNvPr>
        <xdr:cNvCxnSpPr/>
      </xdr:nvCxnSpPr>
      <xdr:spPr>
        <a:xfrm>
          <a:off x="8863694" y="1806573"/>
          <a:ext cx="2170652" cy="73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593792</xdr:colOff>
      <xdr:row>3</xdr:row>
      <xdr:rowOff>3392</xdr:rowOff>
    </xdr:from>
    <xdr:to>
      <xdr:col>8</xdr:col>
      <xdr:colOff>593792</xdr:colOff>
      <xdr:row>6</xdr:row>
      <xdr:rowOff>172187</xdr:rowOff>
    </xdr:to>
    <xdr:cxnSp macro="">
      <xdr:nvCxnSpPr>
        <xdr:cNvPr id="7" name="Straight Arrow Connector 6">
          <a:extLst>
            <a:ext uri="{FF2B5EF4-FFF2-40B4-BE49-F238E27FC236}">
              <a16:creationId xmlns:a16="http://schemas.microsoft.com/office/drawing/2014/main" id="{00000000-0008-0000-0700-000007000000}"/>
            </a:ext>
          </a:extLst>
        </xdr:cNvPr>
        <xdr:cNvCxnSpPr/>
      </xdr:nvCxnSpPr>
      <xdr:spPr>
        <a:xfrm>
          <a:off x="8223561" y="570007"/>
          <a:ext cx="0" cy="725642"/>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755660</xdr:colOff>
      <xdr:row>3</xdr:row>
      <xdr:rowOff>18286</xdr:rowOff>
    </xdr:from>
    <xdr:to>
      <xdr:col>13</xdr:col>
      <xdr:colOff>755660</xdr:colOff>
      <xdr:row>6</xdr:row>
      <xdr:rowOff>179770</xdr:rowOff>
    </xdr:to>
    <xdr:cxnSp macro="">
      <xdr:nvCxnSpPr>
        <xdr:cNvPr id="8" name="Straight Arrow Connector 7">
          <a:extLst>
            <a:ext uri="{FF2B5EF4-FFF2-40B4-BE49-F238E27FC236}">
              <a16:creationId xmlns:a16="http://schemas.microsoft.com/office/drawing/2014/main" id="{00000000-0008-0000-0700-000008000000}"/>
            </a:ext>
          </a:extLst>
        </xdr:cNvPr>
        <xdr:cNvCxnSpPr/>
      </xdr:nvCxnSpPr>
      <xdr:spPr>
        <a:xfrm>
          <a:off x="11794891" y="584901"/>
          <a:ext cx="0" cy="718331"/>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1526522</xdr:colOff>
      <xdr:row>9</xdr:row>
      <xdr:rowOff>84601</xdr:rowOff>
    </xdr:from>
    <xdr:to>
      <xdr:col>16</xdr:col>
      <xdr:colOff>553720</xdr:colOff>
      <xdr:row>9</xdr:row>
      <xdr:rowOff>85065</xdr:rowOff>
    </xdr:to>
    <xdr:cxnSp macro="">
      <xdr:nvCxnSpPr>
        <xdr:cNvPr id="9" name="Straight Arrow Connector 8">
          <a:extLst>
            <a:ext uri="{FF2B5EF4-FFF2-40B4-BE49-F238E27FC236}">
              <a16:creationId xmlns:a16="http://schemas.microsoft.com/office/drawing/2014/main" id="{00000000-0008-0000-0700-000009000000}"/>
            </a:ext>
          </a:extLst>
        </xdr:cNvPr>
        <xdr:cNvCxnSpPr/>
      </xdr:nvCxnSpPr>
      <xdr:spPr>
        <a:xfrm flipV="1">
          <a:off x="12565753" y="1774678"/>
          <a:ext cx="1796775" cy="46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666750</xdr:colOff>
      <xdr:row>2</xdr:row>
      <xdr:rowOff>26670</xdr:rowOff>
    </xdr:from>
    <xdr:to>
      <xdr:col>16</xdr:col>
      <xdr:colOff>1030654</xdr:colOff>
      <xdr:row>18</xdr:row>
      <xdr:rowOff>110490</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2931968" y="386888"/>
          <a:ext cx="12916122" cy="3104111"/>
        </a:xfrm>
        <a:prstGeom prst="rect">
          <a:avLst/>
        </a:prstGeom>
        <a:noFill/>
        <a:ln w="1905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542556</xdr:colOff>
      <xdr:row>12</xdr:row>
      <xdr:rowOff>685</xdr:rowOff>
    </xdr:from>
    <xdr:to>
      <xdr:col>4</xdr:col>
      <xdr:colOff>543134</xdr:colOff>
      <xdr:row>16</xdr:row>
      <xdr:rowOff>180714</xdr:rowOff>
    </xdr:to>
    <xdr:cxnSp macro="">
      <xdr:nvCxnSpPr>
        <xdr:cNvPr id="12" name="Straight Arrow Connector 11">
          <a:extLst>
            <a:ext uri="{FF2B5EF4-FFF2-40B4-BE49-F238E27FC236}">
              <a16:creationId xmlns:a16="http://schemas.microsoft.com/office/drawing/2014/main" id="{00000000-0008-0000-0700-00000C000000}"/>
            </a:ext>
          </a:extLst>
        </xdr:cNvPr>
        <xdr:cNvCxnSpPr/>
      </xdr:nvCxnSpPr>
      <xdr:spPr>
        <a:xfrm>
          <a:off x="5730506" y="2280335"/>
          <a:ext cx="578" cy="92932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612060</xdr:colOff>
      <xdr:row>12</xdr:row>
      <xdr:rowOff>3391</xdr:rowOff>
    </xdr:from>
    <xdr:to>
      <xdr:col>8</xdr:col>
      <xdr:colOff>612060</xdr:colOff>
      <xdr:row>15</xdr:row>
      <xdr:rowOff>167498</xdr:rowOff>
    </xdr:to>
    <xdr:cxnSp macro="">
      <xdr:nvCxnSpPr>
        <xdr:cNvPr id="13" name="Straight Arrow Connector 12">
          <a:extLst>
            <a:ext uri="{FF2B5EF4-FFF2-40B4-BE49-F238E27FC236}">
              <a16:creationId xmlns:a16="http://schemas.microsoft.com/office/drawing/2014/main" id="{00000000-0008-0000-0700-00000D000000}"/>
            </a:ext>
          </a:extLst>
        </xdr:cNvPr>
        <xdr:cNvCxnSpPr/>
      </xdr:nvCxnSpPr>
      <xdr:spPr>
        <a:xfrm>
          <a:off x="8520252" y="2294276"/>
          <a:ext cx="0" cy="730722"/>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152061</xdr:colOff>
      <xdr:row>2</xdr:row>
      <xdr:rowOff>22533</xdr:rowOff>
    </xdr:from>
    <xdr:to>
      <xdr:col>11</xdr:col>
      <xdr:colOff>1771186</xdr:colOff>
      <xdr:row>23</xdr:row>
      <xdr:rowOff>161925</xdr:rowOff>
    </xdr:to>
    <xdr:graphicFrame macro="">
      <xdr:nvGraphicFramePr>
        <xdr:cNvPr id="3" name="Grafico 1">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87A0D-ACE3-4A87-B32E-F161FC6E86BA}">
  <dimension ref="B1:F41"/>
  <sheetViews>
    <sheetView showGridLines="0" zoomScaleNormal="100" workbookViewId="0">
      <selection sqref="A1:H1048576"/>
    </sheetView>
  </sheetViews>
  <sheetFormatPr defaultRowHeight="14.4" x14ac:dyDescent="0.55000000000000004"/>
  <cols>
    <col min="1" max="1" width="2.7890625" customWidth="1"/>
    <col min="2" max="2" width="17.41796875" customWidth="1"/>
    <col min="3" max="3" width="126.47265625" customWidth="1"/>
    <col min="4" max="4" width="2.1015625" customWidth="1"/>
    <col min="5" max="5" width="11" customWidth="1"/>
    <col min="6" max="6" width="34.41796875" customWidth="1"/>
  </cols>
  <sheetData>
    <row r="1" spans="2:6" ht="14.7" thickBot="1" x14ac:dyDescent="0.6"/>
    <row r="2" spans="2:6" x14ac:dyDescent="0.55000000000000004">
      <c r="B2" s="29" t="s">
        <v>198</v>
      </c>
      <c r="C2" s="30" t="s">
        <v>199</v>
      </c>
      <c r="D2" s="2"/>
      <c r="E2" s="29" t="s">
        <v>200</v>
      </c>
      <c r="F2" s="39"/>
    </row>
    <row r="3" spans="2:6" x14ac:dyDescent="0.55000000000000004">
      <c r="B3" s="4" t="s">
        <v>192</v>
      </c>
      <c r="C3" s="3" t="s">
        <v>29</v>
      </c>
      <c r="D3" s="2"/>
      <c r="E3" s="4" t="s">
        <v>58</v>
      </c>
      <c r="F3" s="3" t="s">
        <v>203</v>
      </c>
    </row>
    <row r="4" spans="2:6" s="41" customFormat="1" x14ac:dyDescent="0.55000000000000004">
      <c r="B4" s="4" t="s">
        <v>306</v>
      </c>
      <c r="C4" s="3" t="s">
        <v>400</v>
      </c>
      <c r="D4" s="42"/>
      <c r="E4" s="4" t="s">
        <v>201</v>
      </c>
      <c r="F4" s="3" t="s">
        <v>202</v>
      </c>
    </row>
    <row r="5" spans="2:6" ht="29.4" customHeight="1" x14ac:dyDescent="0.55000000000000004">
      <c r="B5" s="58" t="s">
        <v>129</v>
      </c>
      <c r="C5" s="57" t="s">
        <v>564</v>
      </c>
      <c r="D5" s="2"/>
      <c r="E5" s="4" t="s">
        <v>204</v>
      </c>
      <c r="F5" s="3" t="s">
        <v>205</v>
      </c>
    </row>
    <row r="6" spans="2:6" x14ac:dyDescent="0.55000000000000004">
      <c r="B6" s="4" t="s">
        <v>193</v>
      </c>
      <c r="C6" s="57" t="s">
        <v>459</v>
      </c>
      <c r="D6" s="2"/>
      <c r="E6" s="4" t="s">
        <v>207</v>
      </c>
      <c r="F6" s="3" t="s">
        <v>208</v>
      </c>
    </row>
    <row r="7" spans="2:6" x14ac:dyDescent="0.55000000000000004">
      <c r="B7" s="4" t="s">
        <v>194</v>
      </c>
      <c r="C7" s="57" t="s">
        <v>458</v>
      </c>
      <c r="D7" s="2"/>
      <c r="E7" s="4" t="s">
        <v>206</v>
      </c>
      <c r="F7" s="3" t="s">
        <v>212</v>
      </c>
    </row>
    <row r="8" spans="2:6" x14ac:dyDescent="0.55000000000000004">
      <c r="B8" s="4" t="s">
        <v>195</v>
      </c>
      <c r="C8" s="57" t="s">
        <v>457</v>
      </c>
      <c r="D8" s="2"/>
      <c r="E8" s="4" t="s">
        <v>210</v>
      </c>
      <c r="F8" s="3" t="s">
        <v>211</v>
      </c>
    </row>
    <row r="9" spans="2:6" x14ac:dyDescent="0.55000000000000004">
      <c r="B9" s="4" t="s">
        <v>196</v>
      </c>
      <c r="C9" s="3" t="s">
        <v>398</v>
      </c>
      <c r="D9" s="2"/>
      <c r="E9" s="4" t="s">
        <v>166</v>
      </c>
      <c r="F9" s="3" t="s">
        <v>213</v>
      </c>
    </row>
    <row r="10" spans="2:6" ht="14.7" thickBot="1" x14ac:dyDescent="0.6">
      <c r="B10" s="24" t="s">
        <v>197</v>
      </c>
      <c r="C10" s="31" t="s">
        <v>399</v>
      </c>
      <c r="D10" s="2"/>
      <c r="E10" s="4" t="s">
        <v>214</v>
      </c>
      <c r="F10" s="3" t="s">
        <v>215</v>
      </c>
    </row>
    <row r="11" spans="2:6" x14ac:dyDescent="0.55000000000000004">
      <c r="B11" s="2"/>
      <c r="C11" s="2"/>
      <c r="D11" s="2"/>
      <c r="E11" s="4" t="s">
        <v>176</v>
      </c>
      <c r="F11" s="3" t="s">
        <v>216</v>
      </c>
    </row>
    <row r="12" spans="2:6" ht="14.7" thickBot="1" x14ac:dyDescent="0.6">
      <c r="B12" s="2"/>
      <c r="C12" s="2"/>
      <c r="D12" s="2"/>
      <c r="E12" s="4" t="s">
        <v>217</v>
      </c>
      <c r="F12" s="3" t="s">
        <v>218</v>
      </c>
    </row>
    <row r="13" spans="2:6" x14ac:dyDescent="0.55000000000000004">
      <c r="B13" s="32" t="s">
        <v>31</v>
      </c>
      <c r="C13" s="33"/>
      <c r="D13" s="2"/>
      <c r="E13" s="4" t="s">
        <v>219</v>
      </c>
      <c r="F13" s="3" t="s">
        <v>220</v>
      </c>
    </row>
    <row r="14" spans="2:6" x14ac:dyDescent="0.55000000000000004">
      <c r="B14" s="34"/>
      <c r="C14" s="35" t="s">
        <v>32</v>
      </c>
      <c r="D14" s="2"/>
      <c r="E14" s="4" t="s">
        <v>221</v>
      </c>
      <c r="F14" s="3" t="s">
        <v>222</v>
      </c>
    </row>
    <row r="15" spans="2:6" x14ac:dyDescent="0.55000000000000004">
      <c r="B15" s="59" t="s">
        <v>413</v>
      </c>
      <c r="C15" s="35" t="s">
        <v>188</v>
      </c>
      <c r="D15" s="2"/>
      <c r="E15" s="4" t="s">
        <v>297</v>
      </c>
      <c r="F15" s="3" t="s">
        <v>298</v>
      </c>
    </row>
    <row r="16" spans="2:6" x14ac:dyDescent="0.55000000000000004">
      <c r="B16" s="60" t="s">
        <v>412</v>
      </c>
      <c r="C16" s="35" t="s">
        <v>189</v>
      </c>
      <c r="D16" s="2"/>
      <c r="E16" s="4" t="s">
        <v>167</v>
      </c>
      <c r="F16" s="3" t="s">
        <v>299</v>
      </c>
    </row>
    <row r="17" spans="2:6" x14ac:dyDescent="0.55000000000000004">
      <c r="B17" s="36"/>
      <c r="C17" s="35" t="s">
        <v>190</v>
      </c>
      <c r="D17" s="2"/>
      <c r="E17" s="4" t="s">
        <v>56</v>
      </c>
      <c r="F17" s="3" t="s">
        <v>300</v>
      </c>
    </row>
    <row r="18" spans="2:6" ht="14.7" thickBot="1" x14ac:dyDescent="0.6">
      <c r="B18" s="37"/>
      <c r="C18" s="38" t="s">
        <v>191</v>
      </c>
      <c r="D18" s="2"/>
      <c r="E18" s="4" t="s">
        <v>301</v>
      </c>
      <c r="F18" s="3" t="s">
        <v>302</v>
      </c>
    </row>
    <row r="19" spans="2:6" x14ac:dyDescent="0.55000000000000004">
      <c r="B19" s="2"/>
      <c r="C19" s="2"/>
      <c r="D19" s="2"/>
      <c r="E19" s="4" t="s">
        <v>225</v>
      </c>
      <c r="F19" s="3" t="s">
        <v>303</v>
      </c>
    </row>
    <row r="20" spans="2:6" ht="14.7" thickBot="1" x14ac:dyDescent="0.6">
      <c r="B20" s="2"/>
      <c r="C20" s="2"/>
      <c r="D20" s="2"/>
      <c r="E20" s="24" t="s">
        <v>401</v>
      </c>
      <c r="F20" s="31" t="s">
        <v>304</v>
      </c>
    </row>
    <row r="21" spans="2:6" x14ac:dyDescent="0.55000000000000004">
      <c r="D21" s="2"/>
    </row>
    <row r="22" spans="2:6" x14ac:dyDescent="0.55000000000000004">
      <c r="D22" s="2"/>
    </row>
    <row r="23" spans="2:6" x14ac:dyDescent="0.55000000000000004">
      <c r="D23" s="2"/>
    </row>
    <row r="24" spans="2:6" x14ac:dyDescent="0.55000000000000004">
      <c r="D24" s="2"/>
    </row>
    <row r="25" spans="2:6" x14ac:dyDescent="0.55000000000000004">
      <c r="D25" s="2"/>
    </row>
    <row r="26" spans="2:6" x14ac:dyDescent="0.55000000000000004">
      <c r="D26" s="2"/>
    </row>
    <row r="27" spans="2:6" x14ac:dyDescent="0.55000000000000004">
      <c r="D27" s="2"/>
    </row>
    <row r="28" spans="2:6" x14ac:dyDescent="0.55000000000000004">
      <c r="D28" s="2"/>
    </row>
    <row r="29" spans="2:6" x14ac:dyDescent="0.55000000000000004">
      <c r="D29" s="2"/>
    </row>
    <row r="30" spans="2:6" x14ac:dyDescent="0.55000000000000004">
      <c r="D30" s="2"/>
    </row>
    <row r="31" spans="2:6" x14ac:dyDescent="0.55000000000000004">
      <c r="D31" s="2"/>
    </row>
    <row r="32" spans="2:6" x14ac:dyDescent="0.55000000000000004">
      <c r="D32" s="2"/>
    </row>
    <row r="33" spans="2:4" x14ac:dyDescent="0.55000000000000004">
      <c r="D33" s="2"/>
    </row>
    <row r="34" spans="2:4" x14ac:dyDescent="0.55000000000000004">
      <c r="D34" s="2"/>
    </row>
    <row r="35" spans="2:4" x14ac:dyDescent="0.55000000000000004">
      <c r="D35" s="42"/>
    </row>
    <row r="36" spans="2:4" x14ac:dyDescent="0.55000000000000004">
      <c r="D36" s="42"/>
    </row>
    <row r="37" spans="2:4" x14ac:dyDescent="0.55000000000000004">
      <c r="D37" s="42"/>
    </row>
    <row r="38" spans="2:4" x14ac:dyDescent="0.55000000000000004">
      <c r="D38" s="42"/>
    </row>
    <row r="39" spans="2:4" x14ac:dyDescent="0.55000000000000004">
      <c r="D39" s="42"/>
    </row>
    <row r="41" spans="2:4" x14ac:dyDescent="0.55000000000000004">
      <c r="B41" s="42"/>
      <c r="C41" s="42"/>
      <c r="D41" s="42"/>
    </row>
  </sheetData>
  <sheetProtection algorithmName="SHA-512" hashValue="0xqfPqzA7jPZMHoIErcFYisuywgDti3DurWk8i22zaub71QvlH9Wo0f5kl6SDyFUZhc9LzLv7X7ZdJqq1yVxwg==" saltValue="BErWrYO2ajN/lQhKSTCdiQ=="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F6F4-27F3-4CA7-8D19-1D1844041625}">
  <dimension ref="A2:AB306"/>
  <sheetViews>
    <sheetView showGridLines="0" zoomScale="70" zoomScaleNormal="70" workbookViewId="0">
      <selection activeCell="AE38" sqref="AE38"/>
    </sheetView>
  </sheetViews>
  <sheetFormatPr defaultRowHeight="14.4" x14ac:dyDescent="0.55000000000000004"/>
  <cols>
    <col min="15" max="15" width="8.83984375" customWidth="1"/>
  </cols>
  <sheetData>
    <row r="2" spans="1:28" s="51" customFormat="1" x14ac:dyDescent="0.55000000000000004"/>
    <row r="3" spans="1:28" s="51" customFormat="1" x14ac:dyDescent="0.55000000000000004"/>
    <row r="4" spans="1:28" s="51" customFormat="1" x14ac:dyDescent="0.55000000000000004"/>
    <row r="5" spans="1:28" s="51" customFormat="1" x14ac:dyDescent="0.55000000000000004"/>
    <row r="6" spans="1:28" s="51" customFormat="1" x14ac:dyDescent="0.55000000000000004"/>
    <row r="7" spans="1:28" s="51" customFormat="1" hidden="1" x14ac:dyDescent="0.55000000000000004"/>
    <row r="8" spans="1:28" s="51" customFormat="1" hidden="1" x14ac:dyDescent="0.55000000000000004"/>
    <row r="9" spans="1:28" hidden="1" x14ac:dyDescent="0.55000000000000004"/>
    <row r="10" spans="1:28" hidden="1" x14ac:dyDescent="0.55000000000000004"/>
    <row r="11" spans="1:28" ht="14.4" customHeight="1" x14ac:dyDescent="0.55000000000000004">
      <c r="A11" s="174" t="s">
        <v>565</v>
      </c>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row>
    <row r="12" spans="1:28" ht="14.4" customHeight="1" x14ac:dyDescent="0.55000000000000004">
      <c r="A12" s="174"/>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row>
    <row r="13" spans="1:28" ht="14.4" customHeight="1" x14ac:dyDescent="0.55000000000000004">
      <c r="A13" s="174"/>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row>
    <row r="14" spans="1:28" ht="14.4" customHeight="1" x14ac:dyDescent="0.55000000000000004">
      <c r="A14" s="174"/>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row>
    <row r="15" spans="1:28" ht="14.4" customHeight="1" x14ac:dyDescent="0.55000000000000004">
      <c r="A15" s="174"/>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row>
    <row r="16" spans="1:28" ht="14.4" customHeight="1" x14ac:dyDescent="0.55000000000000004">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row>
    <row r="17" spans="1:28" ht="14.4" customHeight="1" x14ac:dyDescent="0.55000000000000004">
      <c r="A17" s="174"/>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row>
    <row r="18" spans="1:28" ht="14.4" customHeight="1" x14ac:dyDescent="0.55000000000000004">
      <c r="A18" s="174"/>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row>
    <row r="19" spans="1:28" ht="14.4" customHeight="1" x14ac:dyDescent="0.55000000000000004">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row>
    <row r="20" spans="1:28" ht="14.4" customHeight="1" x14ac:dyDescent="0.55000000000000004">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row>
    <row r="21" spans="1:28" ht="14.4" customHeight="1" x14ac:dyDescent="0.55000000000000004">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row>
    <row r="22" spans="1:28" ht="14.4" customHeight="1" x14ac:dyDescent="0.55000000000000004">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row>
    <row r="23" spans="1:28" ht="14.4" customHeight="1" x14ac:dyDescent="0.55000000000000004">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row>
    <row r="24" spans="1:28" ht="14.4" customHeight="1" x14ac:dyDescent="0.55000000000000004">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row>
    <row r="25" spans="1:28" ht="14.4" customHeight="1" x14ac:dyDescent="0.55000000000000004">
      <c r="A25" s="174"/>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row>
    <row r="26" spans="1:28" ht="14.4" customHeight="1" x14ac:dyDescent="0.55000000000000004">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row>
    <row r="27" spans="1:28" ht="14.4" customHeight="1" x14ac:dyDescent="0.55000000000000004">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row>
    <row r="28" spans="1:28" ht="14.4" customHeight="1" x14ac:dyDescent="0.55000000000000004">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row>
    <row r="29" spans="1:28" ht="14.4" customHeight="1" x14ac:dyDescent="0.55000000000000004">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row>
    <row r="30" spans="1:28" ht="14.4" customHeight="1" x14ac:dyDescent="0.55000000000000004">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row>
    <row r="31" spans="1:28" ht="14.4" customHeight="1" x14ac:dyDescent="0.55000000000000004">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row>
    <row r="32" spans="1:28" ht="14.4" customHeight="1" x14ac:dyDescent="0.55000000000000004">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row>
    <row r="33" spans="1:28" ht="14.4" customHeight="1" x14ac:dyDescent="0.55000000000000004">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row>
    <row r="34" spans="1:28" ht="14.4" customHeight="1" x14ac:dyDescent="0.55000000000000004">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row>
    <row r="35" spans="1:28" ht="14.4" customHeight="1" x14ac:dyDescent="0.55000000000000004">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row>
    <row r="36" spans="1:28" ht="14.4" customHeight="1" x14ac:dyDescent="0.55000000000000004">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row>
    <row r="37" spans="1:28" ht="14.4" customHeight="1" x14ac:dyDescent="0.55000000000000004">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row>
    <row r="38" spans="1:28" ht="14.4" customHeight="1" x14ac:dyDescent="0.55000000000000004">
      <c r="A38" s="174"/>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row>
    <row r="39" spans="1:28" ht="14.4" customHeight="1" x14ac:dyDescent="0.55000000000000004">
      <c r="A39" s="174"/>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row>
    <row r="40" spans="1:28" ht="14.4" customHeight="1" x14ac:dyDescent="0.55000000000000004">
      <c r="A40" s="174"/>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row>
    <row r="41" spans="1:28" ht="14.4" customHeight="1" x14ac:dyDescent="0.55000000000000004">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row>
    <row r="42" spans="1:28" ht="14.4" customHeight="1" x14ac:dyDescent="0.55000000000000004">
      <c r="A42" s="174"/>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row>
    <row r="43" spans="1:28" ht="14.4" customHeight="1" x14ac:dyDescent="0.55000000000000004">
      <c r="A43" s="174"/>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row>
    <row r="44" spans="1:28" ht="14.4" customHeight="1" x14ac:dyDescent="0.55000000000000004">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row>
    <row r="45" spans="1:28" ht="14.4" customHeight="1" x14ac:dyDescent="0.55000000000000004">
      <c r="A45" s="174"/>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row>
    <row r="46" spans="1:28" ht="14.4" customHeight="1" x14ac:dyDescent="0.55000000000000004">
      <c r="A46" s="174"/>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row>
    <row r="47" spans="1:28" ht="14.4" customHeight="1" x14ac:dyDescent="0.55000000000000004">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row>
    <row r="48" spans="1:28" ht="14.4" customHeight="1" x14ac:dyDescent="0.55000000000000004">
      <c r="A48" s="174"/>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row>
    <row r="49" spans="1:28" ht="14.4" customHeight="1" x14ac:dyDescent="0.55000000000000004">
      <c r="A49" s="174"/>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row>
    <row r="50" spans="1:28" ht="14.4" customHeight="1" x14ac:dyDescent="0.55000000000000004">
      <c r="A50" s="174"/>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row>
    <row r="51" spans="1:28" ht="14.4" customHeight="1" x14ac:dyDescent="0.55000000000000004">
      <c r="A51" s="174"/>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row>
    <row r="52" spans="1:28" ht="14.4" customHeight="1" x14ac:dyDescent="0.55000000000000004">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row>
    <row r="53" spans="1:28" ht="14.4" customHeight="1" x14ac:dyDescent="0.55000000000000004">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row>
    <row r="54" spans="1:28" ht="14.4" customHeight="1" x14ac:dyDescent="0.55000000000000004">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row>
    <row r="55" spans="1:28" ht="14.4" customHeight="1" x14ac:dyDescent="0.55000000000000004">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row>
    <row r="56" spans="1:28" ht="14.4" customHeight="1" x14ac:dyDescent="0.55000000000000004">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row>
    <row r="57" spans="1:28" ht="14.4" customHeight="1" x14ac:dyDescent="0.55000000000000004">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row>
    <row r="58" spans="1:28" ht="14.4" customHeight="1" x14ac:dyDescent="0.55000000000000004">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row>
    <row r="59" spans="1:28" ht="14.4" customHeight="1" x14ac:dyDescent="0.55000000000000004">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row>
    <row r="60" spans="1:28" ht="14.4" customHeight="1" x14ac:dyDescent="0.55000000000000004">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row>
    <row r="61" spans="1:28" ht="14.4" customHeight="1" x14ac:dyDescent="0.55000000000000004">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row>
    <row r="62" spans="1:28" ht="14.4" customHeight="1" x14ac:dyDescent="0.55000000000000004">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row>
    <row r="63" spans="1:28" ht="14.4" customHeight="1" x14ac:dyDescent="0.55000000000000004">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row>
    <row r="64" spans="1:28" ht="14.4" customHeight="1" x14ac:dyDescent="0.55000000000000004">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row>
    <row r="65" spans="1:28" ht="14.4" customHeight="1" x14ac:dyDescent="0.55000000000000004">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row>
    <row r="66" spans="1:28" ht="14.4" customHeight="1" x14ac:dyDescent="0.55000000000000004">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row>
    <row r="67" spans="1:28" ht="14.4" customHeight="1" x14ac:dyDescent="0.55000000000000004">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row>
    <row r="68" spans="1:28" ht="14.4" customHeight="1" x14ac:dyDescent="0.55000000000000004">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row>
    <row r="69" spans="1:28" ht="14.4" customHeight="1" x14ac:dyDescent="0.55000000000000004">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row>
    <row r="70" spans="1:28" ht="14.4" customHeight="1" x14ac:dyDescent="0.55000000000000004">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row>
    <row r="71" spans="1:28" ht="14.4" customHeight="1" x14ac:dyDescent="0.55000000000000004">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row>
    <row r="72" spans="1:28" ht="14.4" customHeight="1" x14ac:dyDescent="0.55000000000000004">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row>
    <row r="73" spans="1:28" ht="14.4" customHeight="1" x14ac:dyDescent="0.55000000000000004">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row>
    <row r="74" spans="1:28" ht="14.4" customHeight="1" x14ac:dyDescent="0.55000000000000004">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row>
    <row r="75" spans="1:28" ht="14.4" customHeight="1" x14ac:dyDescent="0.55000000000000004">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row>
    <row r="76" spans="1:28" ht="14.4" customHeight="1" x14ac:dyDescent="0.55000000000000004">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row>
    <row r="77" spans="1:28" ht="14.4" customHeight="1" x14ac:dyDescent="0.55000000000000004">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row>
    <row r="78" spans="1:28" ht="14.4" customHeight="1" x14ac:dyDescent="0.55000000000000004">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row>
    <row r="79" spans="1:28" ht="14.4" customHeight="1" x14ac:dyDescent="0.55000000000000004">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row>
    <row r="80" spans="1:28" ht="14.4" customHeight="1" x14ac:dyDescent="0.55000000000000004">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row>
    <row r="81" spans="1:28" ht="14.4" customHeight="1" x14ac:dyDescent="0.55000000000000004">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row>
    <row r="82" spans="1:28" ht="14.4" customHeight="1" x14ac:dyDescent="0.55000000000000004">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row>
    <row r="83" spans="1:28" ht="14.4" customHeight="1" x14ac:dyDescent="0.55000000000000004">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row>
    <row r="84" spans="1:28" ht="14.4" customHeight="1" x14ac:dyDescent="0.55000000000000004">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row>
    <row r="85" spans="1:28" ht="14.4" customHeight="1" x14ac:dyDescent="0.55000000000000004">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row>
    <row r="86" spans="1:28" ht="14.4" customHeight="1" x14ac:dyDescent="0.55000000000000004">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row>
    <row r="87" spans="1:28" ht="14.4" customHeight="1" x14ac:dyDescent="0.55000000000000004">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row>
    <row r="88" spans="1:28" ht="14.4" customHeight="1" x14ac:dyDescent="0.55000000000000004">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row>
    <row r="89" spans="1:28" ht="14.4" customHeight="1" x14ac:dyDescent="0.55000000000000004">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row>
    <row r="90" spans="1:28" ht="14.4" customHeight="1" x14ac:dyDescent="0.55000000000000004">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row>
    <row r="91" spans="1:28" ht="14.4" customHeight="1" x14ac:dyDescent="0.55000000000000004">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row>
    <row r="92" spans="1:28" ht="14.4" customHeight="1" x14ac:dyDescent="0.55000000000000004">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row>
    <row r="93" spans="1:28" ht="14.4" customHeight="1" x14ac:dyDescent="0.55000000000000004">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row>
    <row r="94" spans="1:28" ht="14.4" customHeight="1" x14ac:dyDescent="0.55000000000000004">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row>
    <row r="95" spans="1:28" ht="14.4" customHeight="1" x14ac:dyDescent="0.55000000000000004">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row>
    <row r="96" spans="1:28" ht="14.4" customHeight="1" x14ac:dyDescent="0.55000000000000004">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row>
    <row r="97" spans="1:28" ht="14.4" customHeight="1" x14ac:dyDescent="0.55000000000000004">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row>
    <row r="98" spans="1:28" ht="14.4" customHeight="1" x14ac:dyDescent="0.55000000000000004">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row>
    <row r="99" spans="1:28" ht="14.4" customHeight="1" x14ac:dyDescent="0.55000000000000004">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row>
    <row r="100" spans="1:28" ht="14.4" customHeight="1" x14ac:dyDescent="0.55000000000000004">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row>
    <row r="101" spans="1:28" ht="14.4" customHeight="1" x14ac:dyDescent="0.55000000000000004">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row>
    <row r="102" spans="1:28" ht="14.4" customHeight="1" x14ac:dyDescent="0.55000000000000004">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row>
    <row r="103" spans="1:28" ht="14.4" customHeight="1" x14ac:dyDescent="0.55000000000000004">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row>
    <row r="104" spans="1:28" ht="14.4" customHeight="1" x14ac:dyDescent="0.55000000000000004">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row>
    <row r="105" spans="1:28" ht="14.4" customHeight="1" x14ac:dyDescent="0.55000000000000004">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row>
    <row r="106" spans="1:28" ht="14.4" customHeight="1" x14ac:dyDescent="0.55000000000000004">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row>
    <row r="107" spans="1:28" ht="14.4" customHeight="1" x14ac:dyDescent="0.55000000000000004">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row>
    <row r="108" spans="1:28" ht="14.4" customHeight="1" x14ac:dyDescent="0.55000000000000004">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row>
    <row r="109" spans="1:28" ht="14.4" customHeight="1" x14ac:dyDescent="0.55000000000000004">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row>
    <row r="110" spans="1:28" ht="14.4" customHeight="1" x14ac:dyDescent="0.55000000000000004">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row>
    <row r="111" spans="1:28" ht="14.4" customHeight="1" x14ac:dyDescent="0.55000000000000004">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row>
    <row r="112" spans="1:28" ht="14.4" customHeight="1" x14ac:dyDescent="0.55000000000000004">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row>
    <row r="113" spans="1:28" ht="14.4" customHeight="1" x14ac:dyDescent="0.55000000000000004">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row>
    <row r="114" spans="1:28" ht="14.4" customHeight="1" x14ac:dyDescent="0.55000000000000004">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row>
    <row r="115" spans="1:28" ht="14.4" customHeight="1" x14ac:dyDescent="0.55000000000000004">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row>
    <row r="116" spans="1:28" ht="14.4" customHeight="1" x14ac:dyDescent="0.55000000000000004">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row>
    <row r="117" spans="1:28" ht="14.4" customHeight="1" x14ac:dyDescent="0.55000000000000004">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row>
    <row r="118" spans="1:28" ht="14.4" customHeight="1" x14ac:dyDescent="0.55000000000000004">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row>
    <row r="119" spans="1:28" ht="14.4" customHeight="1" x14ac:dyDescent="0.55000000000000004">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row>
    <row r="120" spans="1:28" ht="14.4" customHeight="1" x14ac:dyDescent="0.55000000000000004">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row>
    <row r="121" spans="1:28" ht="14.4" customHeight="1" x14ac:dyDescent="0.55000000000000004">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row>
    <row r="122" spans="1:28" ht="14.4" customHeight="1" x14ac:dyDescent="0.55000000000000004">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row>
    <row r="123" spans="1:28" ht="14.4" customHeight="1" x14ac:dyDescent="0.55000000000000004">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row>
    <row r="124" spans="1:28" ht="14.4" customHeight="1" x14ac:dyDescent="0.55000000000000004">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row>
    <row r="125" spans="1:28" ht="14.4" customHeight="1" x14ac:dyDescent="0.55000000000000004">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row>
    <row r="126" spans="1:28" ht="14.4" customHeight="1" x14ac:dyDescent="0.55000000000000004">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row>
    <row r="127" spans="1:28" ht="14.4" customHeight="1" x14ac:dyDescent="0.55000000000000004">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row>
    <row r="128" spans="1:28" ht="14.4" customHeight="1" x14ac:dyDescent="0.55000000000000004">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row>
    <row r="129" spans="1:28" ht="14.4" customHeight="1" x14ac:dyDescent="0.55000000000000004">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row>
    <row r="130" spans="1:28" ht="14.4" customHeight="1" x14ac:dyDescent="0.55000000000000004">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row>
    <row r="131" spans="1:28" ht="14.4" customHeight="1" x14ac:dyDescent="0.55000000000000004">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row>
    <row r="132" spans="1:28" ht="14.4" customHeight="1" x14ac:dyDescent="0.55000000000000004">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row>
    <row r="133" spans="1:28" ht="14.4" customHeight="1" x14ac:dyDescent="0.55000000000000004">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row>
    <row r="134" spans="1:28" ht="14.4" customHeight="1" x14ac:dyDescent="0.55000000000000004">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row>
    <row r="135" spans="1:28" ht="14.4" customHeight="1" x14ac:dyDescent="0.55000000000000004">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row>
    <row r="136" spans="1:28" ht="14.4" customHeight="1" x14ac:dyDescent="0.55000000000000004">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row>
    <row r="137" spans="1:28" ht="14.4" customHeight="1" x14ac:dyDescent="0.55000000000000004">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row>
    <row r="138" spans="1:28" ht="14.4" customHeight="1" x14ac:dyDescent="0.55000000000000004">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row>
    <row r="139" spans="1:28" ht="14.4" customHeight="1" x14ac:dyDescent="0.55000000000000004">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row>
    <row r="140" spans="1:28" ht="14.4" customHeight="1" x14ac:dyDescent="0.55000000000000004">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row>
    <row r="141" spans="1:28" ht="14.4" customHeight="1" x14ac:dyDescent="0.55000000000000004">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row>
    <row r="142" spans="1:28" ht="14.4" customHeight="1" x14ac:dyDescent="0.55000000000000004">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row>
    <row r="143" spans="1:28" ht="14.4" customHeight="1" x14ac:dyDescent="0.55000000000000004">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row>
    <row r="144" spans="1:28" ht="14.4" customHeight="1" x14ac:dyDescent="0.55000000000000004">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row>
    <row r="145" spans="1:28" ht="14.4" customHeight="1" x14ac:dyDescent="0.55000000000000004">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row>
    <row r="146" spans="1:28" ht="14.4" customHeight="1" x14ac:dyDescent="0.55000000000000004">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row>
    <row r="147" spans="1:28" ht="14.4" customHeight="1" x14ac:dyDescent="0.55000000000000004">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row>
    <row r="148" spans="1:28" ht="14.4" customHeight="1" x14ac:dyDescent="0.55000000000000004">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row>
    <row r="149" spans="1:28" ht="14.4" customHeight="1" x14ac:dyDescent="0.55000000000000004">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row>
    <row r="150" spans="1:28" ht="14.4" customHeight="1" x14ac:dyDescent="0.55000000000000004">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row>
    <row r="151" spans="1:28" ht="14.4" customHeight="1" x14ac:dyDescent="0.55000000000000004">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row>
    <row r="152" spans="1:28" ht="14.4" customHeight="1" x14ac:dyDescent="0.55000000000000004">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row>
    <row r="153" spans="1:28" ht="14.4" customHeight="1" x14ac:dyDescent="0.55000000000000004">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row>
    <row r="154" spans="1:28" ht="14.4" customHeight="1" x14ac:dyDescent="0.55000000000000004">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row>
    <row r="155" spans="1:28" ht="14.4" customHeight="1" x14ac:dyDescent="0.55000000000000004">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row>
    <row r="156" spans="1:28" ht="14.4" customHeight="1" x14ac:dyDescent="0.55000000000000004">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row>
    <row r="157" spans="1:28" ht="14.4" customHeight="1" x14ac:dyDescent="0.55000000000000004">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row>
    <row r="158" spans="1:28" ht="14.4" customHeight="1" x14ac:dyDescent="0.55000000000000004">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row>
    <row r="159" spans="1:28" ht="14.4" customHeight="1" x14ac:dyDescent="0.55000000000000004">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row>
    <row r="160" spans="1:28" ht="14.4" customHeight="1" x14ac:dyDescent="0.55000000000000004">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row>
    <row r="161" spans="1:28" ht="14.4" customHeight="1" x14ac:dyDescent="0.55000000000000004">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row>
    <row r="162" spans="1:28" ht="14.4" customHeight="1" x14ac:dyDescent="0.55000000000000004">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row>
    <row r="163" spans="1:28" ht="14.4" customHeight="1" x14ac:dyDescent="0.55000000000000004">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row>
    <row r="164" spans="1:28" ht="14.4" customHeight="1" x14ac:dyDescent="0.55000000000000004">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row>
    <row r="165" spans="1:28" ht="14.4" customHeight="1" x14ac:dyDescent="0.55000000000000004">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row>
    <row r="166" spans="1:28" ht="14.4" customHeight="1" x14ac:dyDescent="0.55000000000000004">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row>
    <row r="167" spans="1:28" ht="14.4" customHeight="1" x14ac:dyDescent="0.55000000000000004">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row>
    <row r="168" spans="1:28" ht="14.4" customHeight="1" x14ac:dyDescent="0.55000000000000004">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row>
    <row r="169" spans="1:28" ht="14.4" customHeight="1" x14ac:dyDescent="0.55000000000000004">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row>
    <row r="170" spans="1:28" ht="14.4" customHeight="1" x14ac:dyDescent="0.55000000000000004">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row>
    <row r="171" spans="1:28" ht="14.4" customHeight="1" x14ac:dyDescent="0.55000000000000004">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row>
    <row r="172" spans="1:28" ht="14.4" customHeight="1" x14ac:dyDescent="0.55000000000000004">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row>
    <row r="173" spans="1:28" ht="14.4" customHeight="1" x14ac:dyDescent="0.55000000000000004">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row>
    <row r="174" spans="1:28" ht="14.4" customHeight="1" x14ac:dyDescent="0.55000000000000004">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row>
    <row r="175" spans="1:28" ht="14.4" customHeight="1" x14ac:dyDescent="0.55000000000000004">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row>
    <row r="176" spans="1:28" ht="14.4" customHeight="1" x14ac:dyDescent="0.55000000000000004">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row>
    <row r="177" spans="1:28" ht="14.4" customHeight="1" x14ac:dyDescent="0.55000000000000004">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row>
    <row r="178" spans="1:28" ht="14.4" customHeight="1" x14ac:dyDescent="0.55000000000000004">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row>
    <row r="179" spans="1:28" ht="14.4" customHeight="1" x14ac:dyDescent="0.55000000000000004">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row>
    <row r="180" spans="1:28" ht="14.4" customHeight="1" x14ac:dyDescent="0.55000000000000004">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row>
    <row r="181" spans="1:28" ht="14.4" customHeight="1" x14ac:dyDescent="0.55000000000000004">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row>
    <row r="182" spans="1:28" ht="14.4" customHeight="1" x14ac:dyDescent="0.55000000000000004">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row>
    <row r="183" spans="1:28" ht="14.4" customHeight="1" x14ac:dyDescent="0.55000000000000004">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row>
    <row r="184" spans="1:28" ht="14.4" customHeight="1" x14ac:dyDescent="0.55000000000000004">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row>
    <row r="185" spans="1:28" ht="14.4" customHeight="1" x14ac:dyDescent="0.55000000000000004">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row>
    <row r="186" spans="1:28" ht="14.4" customHeight="1" x14ac:dyDescent="0.55000000000000004">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row>
    <row r="187" spans="1:28" ht="14.4" customHeight="1" x14ac:dyDescent="0.55000000000000004">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row>
    <row r="188" spans="1:28" ht="14.4" customHeight="1" x14ac:dyDescent="0.55000000000000004">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row>
    <row r="189" spans="1:28" ht="14.4" customHeight="1" x14ac:dyDescent="0.55000000000000004">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row>
    <row r="190" spans="1:28" ht="14.4" customHeight="1" x14ac:dyDescent="0.55000000000000004">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row>
    <row r="191" spans="1:28" ht="14.4" customHeight="1" x14ac:dyDescent="0.55000000000000004">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row>
    <row r="192" spans="1:28" ht="14.4" customHeight="1" x14ac:dyDescent="0.55000000000000004">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row>
    <row r="193" spans="1:28" ht="14.4" customHeight="1" x14ac:dyDescent="0.55000000000000004">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row>
    <row r="194" spans="1:28" ht="14.4" customHeight="1" x14ac:dyDescent="0.55000000000000004">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row>
    <row r="195" spans="1:28" ht="14.4" customHeight="1" x14ac:dyDescent="0.55000000000000004">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row>
    <row r="196" spans="1:28" ht="14.4" customHeight="1" x14ac:dyDescent="0.55000000000000004">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row>
    <row r="197" spans="1:28" ht="14.4" customHeight="1" x14ac:dyDescent="0.55000000000000004">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row>
    <row r="198" spans="1:28" ht="14.4" customHeight="1" x14ac:dyDescent="0.55000000000000004">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row>
    <row r="199" spans="1:28" ht="14.4" customHeight="1" x14ac:dyDescent="0.55000000000000004">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row>
    <row r="200" spans="1:28" ht="14.4" customHeight="1" x14ac:dyDescent="0.55000000000000004">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row>
    <row r="201" spans="1:28" ht="14.4" customHeight="1" x14ac:dyDescent="0.55000000000000004">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row>
    <row r="202" spans="1:28" ht="14.4" customHeight="1" x14ac:dyDescent="0.55000000000000004">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row>
    <row r="203" spans="1:28" ht="14.4" customHeight="1" x14ac:dyDescent="0.55000000000000004">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row>
    <row r="204" spans="1:28" ht="14.4" customHeight="1" x14ac:dyDescent="0.55000000000000004">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row>
    <row r="205" spans="1:28" ht="14.4" customHeight="1" x14ac:dyDescent="0.55000000000000004">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row>
    <row r="206" spans="1:28" ht="14.4" customHeight="1" x14ac:dyDescent="0.55000000000000004">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row>
    <row r="207" spans="1:28" ht="14.4" customHeight="1" x14ac:dyDescent="0.55000000000000004">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row>
    <row r="208" spans="1:28" ht="14.4" customHeight="1" x14ac:dyDescent="0.55000000000000004">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row>
    <row r="209" spans="1:28" ht="14.4" customHeight="1" x14ac:dyDescent="0.55000000000000004">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row>
    <row r="210" spans="1:28" ht="14.4" customHeight="1" x14ac:dyDescent="0.55000000000000004">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row>
    <row r="211" spans="1:28" ht="14.4" customHeight="1" x14ac:dyDescent="0.55000000000000004">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row>
    <row r="212" spans="1:28" ht="14.4" customHeight="1" x14ac:dyDescent="0.55000000000000004">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row>
    <row r="213" spans="1:28" ht="14.4" customHeight="1" x14ac:dyDescent="0.55000000000000004">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row>
    <row r="214" spans="1:28" ht="14.4" customHeight="1" x14ac:dyDescent="0.55000000000000004">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row>
    <row r="215" spans="1:28" ht="14.4" customHeight="1" x14ac:dyDescent="0.55000000000000004">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row>
    <row r="216" spans="1:28" ht="14.4" customHeight="1" x14ac:dyDescent="0.55000000000000004">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row>
    <row r="217" spans="1:28" ht="14.4" customHeight="1" x14ac:dyDescent="0.55000000000000004">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row>
    <row r="218" spans="1:28" ht="14.4" customHeight="1" x14ac:dyDescent="0.55000000000000004">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row>
    <row r="219" spans="1:28" ht="14.4" customHeight="1" x14ac:dyDescent="0.55000000000000004">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row>
    <row r="220" spans="1:28" ht="14.4" customHeight="1" x14ac:dyDescent="0.55000000000000004">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row>
    <row r="221" spans="1:28" ht="14.4" customHeight="1" x14ac:dyDescent="0.55000000000000004">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row>
    <row r="222" spans="1:28" ht="14.4" customHeight="1" x14ac:dyDescent="0.55000000000000004">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row>
    <row r="223" spans="1:28" ht="14.4" customHeight="1" x14ac:dyDescent="0.55000000000000004">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row>
    <row r="224" spans="1:28" ht="14.4" customHeight="1" x14ac:dyDescent="0.55000000000000004">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row>
    <row r="225" spans="1:28" ht="14.4" customHeight="1" x14ac:dyDescent="0.55000000000000004">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row>
    <row r="226" spans="1:28" ht="14.4" customHeight="1" x14ac:dyDescent="0.55000000000000004">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row>
    <row r="227" spans="1:28" ht="14.4" customHeight="1" x14ac:dyDescent="0.55000000000000004">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row>
    <row r="228" spans="1:28" ht="14.4" customHeight="1" x14ac:dyDescent="0.55000000000000004">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row>
    <row r="229" spans="1:28" ht="14.4" customHeight="1" x14ac:dyDescent="0.55000000000000004">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row>
    <row r="230" spans="1:28" ht="14.4" customHeight="1" x14ac:dyDescent="0.55000000000000004">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row>
    <row r="231" spans="1:28" ht="14.4" customHeight="1" x14ac:dyDescent="0.55000000000000004">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row>
    <row r="232" spans="1:28" ht="14.4" customHeight="1" x14ac:dyDescent="0.55000000000000004">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row>
    <row r="233" spans="1:28" ht="14.4" customHeight="1" x14ac:dyDescent="0.55000000000000004">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row>
    <row r="234" spans="1:28" ht="14.4" customHeight="1" x14ac:dyDescent="0.55000000000000004">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row>
    <row r="235" spans="1:28" ht="14.4" customHeight="1" x14ac:dyDescent="0.55000000000000004">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row>
    <row r="236" spans="1:28" ht="14.4" customHeight="1" x14ac:dyDescent="0.55000000000000004">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row>
    <row r="237" spans="1:28" ht="14.4" customHeight="1" x14ac:dyDescent="0.55000000000000004">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row>
    <row r="238" spans="1:28" ht="14.4" customHeight="1" x14ac:dyDescent="0.55000000000000004">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row>
    <row r="239" spans="1:28" ht="14.4" customHeight="1" x14ac:dyDescent="0.55000000000000004">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row>
    <row r="240" spans="1:28" ht="14.4" customHeight="1" x14ac:dyDescent="0.55000000000000004">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row>
    <row r="241" spans="1:28" ht="14.4" customHeight="1" x14ac:dyDescent="0.55000000000000004">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row>
    <row r="242" spans="1:28" ht="14.4" customHeight="1" x14ac:dyDescent="0.55000000000000004">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row>
    <row r="243" spans="1:28" ht="14.4" customHeight="1" x14ac:dyDescent="0.55000000000000004">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row>
    <row r="244" spans="1:28" ht="14.4" customHeight="1" x14ac:dyDescent="0.55000000000000004">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row>
    <row r="245" spans="1:28" ht="14.4" customHeight="1" x14ac:dyDescent="0.55000000000000004">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row>
    <row r="246" spans="1:28" ht="14.4" customHeight="1" x14ac:dyDescent="0.55000000000000004">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row>
    <row r="247" spans="1:28" ht="14.4" customHeight="1" x14ac:dyDescent="0.55000000000000004">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row>
    <row r="248" spans="1:28" ht="14.4" customHeight="1" x14ac:dyDescent="0.55000000000000004">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row>
    <row r="249" spans="1:28" ht="14.4" customHeight="1" x14ac:dyDescent="0.55000000000000004">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row>
    <row r="250" spans="1:28" ht="14.4" customHeight="1" x14ac:dyDescent="0.55000000000000004">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row>
    <row r="251" spans="1:28" ht="14.4" customHeight="1" x14ac:dyDescent="0.55000000000000004">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row>
    <row r="252" spans="1:28" ht="14.4" customHeight="1" x14ac:dyDescent="0.55000000000000004">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row>
    <row r="253" spans="1:28" ht="14.4" customHeight="1" x14ac:dyDescent="0.55000000000000004">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row>
    <row r="254" spans="1:28" ht="14.4" customHeight="1" x14ac:dyDescent="0.55000000000000004">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row>
    <row r="255" spans="1:28" ht="14.4" customHeight="1" x14ac:dyDescent="0.55000000000000004">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row>
    <row r="256" spans="1:28" ht="14.4" customHeight="1" x14ac:dyDescent="0.55000000000000004">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row>
    <row r="257" spans="1:28" ht="14.4" customHeight="1" x14ac:dyDescent="0.55000000000000004">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row>
    <row r="258" spans="1:28" ht="14.4" customHeight="1" x14ac:dyDescent="0.55000000000000004">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row>
    <row r="259" spans="1:28" ht="14.4" customHeight="1" x14ac:dyDescent="0.55000000000000004">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row>
    <row r="260" spans="1:28" ht="14.4" customHeight="1" x14ac:dyDescent="0.55000000000000004">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row>
    <row r="261" spans="1:28" ht="14.4" customHeight="1" x14ac:dyDescent="0.55000000000000004">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row>
    <row r="262" spans="1:28" ht="14.4" customHeight="1" x14ac:dyDescent="0.55000000000000004">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row>
    <row r="263" spans="1:28" ht="14.4" customHeight="1" x14ac:dyDescent="0.55000000000000004">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row>
    <row r="264" spans="1:28" ht="14.4" customHeight="1" x14ac:dyDescent="0.55000000000000004">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row>
    <row r="265" spans="1:28" ht="14.4" customHeight="1" x14ac:dyDescent="0.55000000000000004">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row>
    <row r="266" spans="1:28" ht="14.4" customHeight="1" x14ac:dyDescent="0.55000000000000004">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row>
    <row r="267" spans="1:28" ht="14.4" customHeight="1" x14ac:dyDescent="0.55000000000000004">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row>
    <row r="268" spans="1:28" ht="14.4" customHeight="1" x14ac:dyDescent="0.55000000000000004">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row>
    <row r="269" spans="1:28" ht="14.4" customHeight="1" x14ac:dyDescent="0.55000000000000004">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row>
    <row r="270" spans="1:28" ht="14.4" customHeight="1" x14ac:dyDescent="0.55000000000000004">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row>
    <row r="271" spans="1:28" ht="14.4" customHeight="1" x14ac:dyDescent="0.55000000000000004">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row>
    <row r="272" spans="1:28" ht="14.4" customHeight="1" x14ac:dyDescent="0.55000000000000004">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row>
    <row r="273" spans="1:28" ht="14.4" customHeight="1" x14ac:dyDescent="0.55000000000000004">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row>
    <row r="274" spans="1:28" ht="14.4" customHeight="1" x14ac:dyDescent="0.55000000000000004">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row>
    <row r="275" spans="1:28" ht="14.4" customHeight="1" x14ac:dyDescent="0.55000000000000004">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row>
    <row r="276" spans="1:28" ht="14.4" customHeight="1" x14ac:dyDescent="0.55000000000000004">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row>
    <row r="277" spans="1:28" ht="14.4" customHeight="1" x14ac:dyDescent="0.55000000000000004">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row>
    <row r="278" spans="1:28" ht="14.4" customHeight="1" x14ac:dyDescent="0.55000000000000004">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row>
    <row r="279" spans="1:28" ht="14.4" customHeight="1" x14ac:dyDescent="0.55000000000000004">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row>
    <row r="280" spans="1:28" ht="14.4" customHeight="1" x14ac:dyDescent="0.55000000000000004">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row>
    <row r="281" spans="1:28" ht="14.4" customHeight="1" x14ac:dyDescent="0.55000000000000004">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row>
    <row r="282" spans="1:28" ht="14.4" customHeight="1" x14ac:dyDescent="0.55000000000000004">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row>
    <row r="283" spans="1:28" ht="14.4" customHeight="1" x14ac:dyDescent="0.55000000000000004">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row>
    <row r="284" spans="1:28" ht="14.4" customHeight="1" x14ac:dyDescent="0.55000000000000004">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row>
    <row r="285" spans="1:28" ht="14.4" customHeight="1" x14ac:dyDescent="0.55000000000000004">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row>
    <row r="286" spans="1:28" ht="14.4" customHeight="1" x14ac:dyDescent="0.55000000000000004">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row>
    <row r="287" spans="1:28" ht="14.4" customHeight="1" x14ac:dyDescent="0.55000000000000004">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row>
    <row r="288" spans="1:28" ht="14.4" customHeight="1" x14ac:dyDescent="0.55000000000000004">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row>
    <row r="289" spans="1:28" ht="14.4" customHeight="1" x14ac:dyDescent="0.55000000000000004">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row>
    <row r="290" spans="1:28" ht="14.4" customHeight="1" x14ac:dyDescent="0.55000000000000004">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row>
    <row r="291" spans="1:28" ht="14.4" customHeight="1" x14ac:dyDescent="0.55000000000000004">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row>
    <row r="292" spans="1:28" ht="14.4" customHeight="1" x14ac:dyDescent="0.55000000000000004">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row>
    <row r="293" spans="1:28" ht="14.4" customHeight="1" x14ac:dyDescent="0.55000000000000004">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row>
    <row r="294" spans="1:28" ht="14.4" customHeight="1" x14ac:dyDescent="0.55000000000000004">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row>
    <row r="295" spans="1:28" ht="14.4" customHeight="1" x14ac:dyDescent="0.55000000000000004">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row>
    <row r="296" spans="1:28" ht="14.4" customHeight="1" x14ac:dyDescent="0.55000000000000004">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row>
    <row r="297" spans="1:28" ht="14.4" customHeight="1" x14ac:dyDescent="0.55000000000000004">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row>
    <row r="298" spans="1:28" ht="14.4" customHeight="1" x14ac:dyDescent="0.55000000000000004">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row>
    <row r="299" spans="1:28" ht="14.4" customHeight="1" x14ac:dyDescent="0.55000000000000004">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row>
    <row r="300" spans="1:28" ht="14.4" customHeight="1" x14ac:dyDescent="0.55000000000000004">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row>
    <row r="301" spans="1:28" ht="14.4" customHeight="1" x14ac:dyDescent="0.55000000000000004">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row>
    <row r="302" spans="1:28" ht="14.4" customHeight="1" x14ac:dyDescent="0.55000000000000004">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row>
    <row r="303" spans="1:28" ht="14.4" customHeight="1" x14ac:dyDescent="0.55000000000000004">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row>
    <row r="304" spans="1:28" ht="14.4" customHeight="1" x14ac:dyDescent="0.55000000000000004">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row>
    <row r="305" spans="1:28" ht="14.4" customHeight="1" x14ac:dyDescent="0.55000000000000004">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row>
    <row r="306" spans="1:28" ht="14.4" customHeight="1" x14ac:dyDescent="0.55000000000000004">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row>
  </sheetData>
  <sheetProtection algorithmName="SHA-512" hashValue="qetSWOtm2TykMqFHV5RCSQV+7aXIus61j3jcbpOO9rveXZns+7oC1v9KESa8SChwvwLScfKvnA18OZ3N7SS+4Q==" saltValue="OVZEMm5dWluVm8Qk6tnK5A==" spinCount="100000" sheet="1" objects="1" scenarios="1" selectLockedCells="1"/>
  <mergeCells count="1">
    <mergeCell ref="A11:AB5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BBC98-45F5-4941-AA13-BBF4B9F2A4A6}">
  <dimension ref="B1:AI62"/>
  <sheetViews>
    <sheetView showGridLines="0" zoomScaleNormal="100" workbookViewId="0">
      <selection activeCell="G3" sqref="G3:I3"/>
    </sheetView>
  </sheetViews>
  <sheetFormatPr defaultRowHeight="14.4" x14ac:dyDescent="0.55000000000000004"/>
  <cols>
    <col min="1" max="1" width="3.89453125" customWidth="1"/>
    <col min="2" max="2" width="20.26171875" customWidth="1"/>
    <col min="3" max="3" width="27.89453125" customWidth="1"/>
    <col min="4" max="4" width="7.68359375" style="51" customWidth="1"/>
    <col min="5" max="5" width="5.9453125" style="51" customWidth="1"/>
    <col min="6" max="6" width="10" style="51" customWidth="1"/>
    <col min="9" max="9" width="4.9453125" customWidth="1"/>
    <col min="10" max="10" width="4.89453125" customWidth="1"/>
    <col min="12" max="12" width="10" customWidth="1"/>
    <col min="13" max="13" width="5.3671875" customWidth="1"/>
    <col min="14" max="14" width="4.15625" customWidth="1"/>
    <col min="15" max="15" width="10.68359375" customWidth="1"/>
    <col min="20" max="20" width="16" bestFit="1" customWidth="1"/>
    <col min="21" max="21" width="4.1015625" customWidth="1"/>
    <col min="22" max="22" width="15.89453125" customWidth="1"/>
    <col min="23" max="23" width="3.9453125" customWidth="1"/>
    <col min="24" max="24" width="10.3125" style="9" hidden="1" customWidth="1"/>
    <col min="25" max="25" width="0" style="9" hidden="1" customWidth="1"/>
    <col min="26" max="26" width="16" bestFit="1" customWidth="1"/>
    <col min="27" max="27" width="2.62890625" customWidth="1"/>
    <col min="28" max="28" width="11.9453125" customWidth="1"/>
    <col min="29" max="29" width="3.15625" customWidth="1"/>
    <col min="30" max="30" width="18.89453125" bestFit="1" customWidth="1"/>
    <col min="31" max="31" width="4.26171875" customWidth="1"/>
    <col min="32" max="32" width="13.89453125" bestFit="1" customWidth="1"/>
    <col min="33" max="33" width="3.05078125" customWidth="1"/>
    <col min="34" max="34" width="22" bestFit="1" customWidth="1"/>
  </cols>
  <sheetData>
    <row r="1" spans="2:35" ht="14.7" thickBot="1" x14ac:dyDescent="0.6"/>
    <row r="2" spans="2:35" ht="18.3" x14ac:dyDescent="0.7">
      <c r="B2" s="190" t="s">
        <v>42</v>
      </c>
      <c r="C2" s="191"/>
      <c r="D2" s="191"/>
      <c r="E2" s="191"/>
      <c r="F2" s="191"/>
      <c r="G2" s="191"/>
      <c r="H2" s="191"/>
      <c r="I2" s="191"/>
      <c r="J2" s="191"/>
      <c r="K2" s="191"/>
      <c r="L2" s="191"/>
      <c r="M2" s="191"/>
      <c r="N2" s="191"/>
      <c r="O2" s="191"/>
      <c r="P2" s="191"/>
      <c r="Q2" s="192"/>
      <c r="R2" s="121"/>
    </row>
    <row r="3" spans="2:35" x14ac:dyDescent="0.55000000000000004">
      <c r="B3" s="135"/>
      <c r="C3" s="136"/>
      <c r="D3" s="136"/>
      <c r="E3" s="136"/>
      <c r="F3" s="136"/>
      <c r="G3" s="204" t="s">
        <v>381</v>
      </c>
      <c r="H3" s="205"/>
      <c r="I3" s="206"/>
      <c r="J3" s="124"/>
      <c r="K3" s="193" t="s">
        <v>59</v>
      </c>
      <c r="L3" s="193"/>
      <c r="M3" s="193"/>
      <c r="N3" s="124"/>
      <c r="O3" s="194" t="s">
        <v>148</v>
      </c>
      <c r="P3" s="194"/>
      <c r="Q3" s="194"/>
      <c r="R3" s="125"/>
    </row>
    <row r="4" spans="2:35" s="51" customFormat="1" x14ac:dyDescent="0.55000000000000004">
      <c r="B4" s="135"/>
      <c r="C4" s="136"/>
      <c r="D4" s="136"/>
      <c r="E4" s="188" t="s">
        <v>382</v>
      </c>
      <c r="F4" s="189"/>
      <c r="G4" s="201"/>
      <c r="H4" s="202"/>
      <c r="I4" s="203"/>
      <c r="J4" s="124"/>
      <c r="K4" s="195"/>
      <c r="L4" s="196"/>
      <c r="M4" s="197"/>
      <c r="N4" s="124"/>
      <c r="O4" s="198"/>
      <c r="P4" s="199"/>
      <c r="Q4" s="200"/>
      <c r="R4" s="125"/>
    </row>
    <row r="5" spans="2:35" x14ac:dyDescent="0.55000000000000004">
      <c r="B5" s="138" t="s">
        <v>62</v>
      </c>
      <c r="C5" s="139"/>
      <c r="D5" s="140" t="s">
        <v>226</v>
      </c>
      <c r="E5" s="140" t="s">
        <v>68</v>
      </c>
      <c r="F5" s="175"/>
      <c r="G5" s="126" t="s">
        <v>141</v>
      </c>
      <c r="H5" s="126" t="s">
        <v>142</v>
      </c>
      <c r="I5" s="127" t="s">
        <v>68</v>
      </c>
      <c r="J5" s="128"/>
      <c r="K5" s="126" t="s">
        <v>144</v>
      </c>
      <c r="L5" s="126" t="s">
        <v>145</v>
      </c>
      <c r="M5" s="128" t="s">
        <v>68</v>
      </c>
      <c r="N5" s="128"/>
      <c r="O5" s="129" t="s">
        <v>149</v>
      </c>
      <c r="P5" s="129" t="s">
        <v>150</v>
      </c>
      <c r="Q5" s="128" t="s">
        <v>68</v>
      </c>
      <c r="R5" s="125"/>
    </row>
    <row r="6" spans="2:35" x14ac:dyDescent="0.55000000000000004">
      <c r="B6" s="135"/>
      <c r="C6" s="62" t="s">
        <v>460</v>
      </c>
      <c r="D6" s="63"/>
      <c r="E6" s="140" t="s">
        <v>228</v>
      </c>
      <c r="F6" s="176"/>
      <c r="G6" s="70"/>
      <c r="H6" s="70"/>
      <c r="I6" s="142" t="s">
        <v>43</v>
      </c>
      <c r="J6" s="137"/>
      <c r="K6" s="64"/>
      <c r="L6" s="64"/>
      <c r="M6" s="140" t="s">
        <v>43</v>
      </c>
      <c r="N6" s="137"/>
      <c r="O6" s="140">
        <v>0</v>
      </c>
      <c r="P6" s="140">
        <v>0</v>
      </c>
      <c r="Q6" s="140" t="s">
        <v>43</v>
      </c>
      <c r="R6" s="125"/>
    </row>
    <row r="7" spans="2:35" x14ac:dyDescent="0.55000000000000004">
      <c r="B7" s="135"/>
      <c r="C7" s="64" t="s">
        <v>50</v>
      </c>
      <c r="D7" s="65"/>
      <c r="E7" s="140" t="s">
        <v>228</v>
      </c>
      <c r="F7" s="176"/>
      <c r="G7" s="64"/>
      <c r="H7" s="64"/>
      <c r="I7" s="140" t="s">
        <v>43</v>
      </c>
      <c r="J7" s="137"/>
      <c r="K7" s="64"/>
      <c r="L7" s="64"/>
      <c r="M7" s="140" t="s">
        <v>43</v>
      </c>
      <c r="N7" s="137"/>
      <c r="O7" s="140">
        <v>0</v>
      </c>
      <c r="P7" s="140">
        <v>0</v>
      </c>
      <c r="Q7" s="140" t="s">
        <v>43</v>
      </c>
      <c r="R7" s="125"/>
    </row>
    <row r="8" spans="2:35" x14ac:dyDescent="0.55000000000000004">
      <c r="B8" s="135"/>
      <c r="C8" s="64" t="s">
        <v>51</v>
      </c>
      <c r="D8" s="65"/>
      <c r="E8" s="140" t="s">
        <v>228</v>
      </c>
      <c r="F8" s="176"/>
      <c r="G8" s="64"/>
      <c r="H8" s="64"/>
      <c r="I8" s="140" t="s">
        <v>43</v>
      </c>
      <c r="J8" s="137"/>
      <c r="K8" s="64"/>
      <c r="L8" s="64"/>
      <c r="M8" s="140" t="s">
        <v>43</v>
      </c>
      <c r="N8" s="137"/>
      <c r="O8" s="140">
        <v>0</v>
      </c>
      <c r="P8" s="140">
        <v>0</v>
      </c>
      <c r="Q8" s="140" t="s">
        <v>43</v>
      </c>
      <c r="R8" s="125"/>
    </row>
    <row r="9" spans="2:35" ht="15.6" x14ac:dyDescent="0.6">
      <c r="B9" s="135"/>
      <c r="C9" s="64" t="s">
        <v>52</v>
      </c>
      <c r="D9" s="65"/>
      <c r="E9" s="140" t="s">
        <v>228</v>
      </c>
      <c r="F9" s="176"/>
      <c r="G9" s="64"/>
      <c r="H9" s="64"/>
      <c r="I9" s="140" t="s">
        <v>43</v>
      </c>
      <c r="J9" s="137"/>
      <c r="K9" s="64"/>
      <c r="L9" s="64"/>
      <c r="M9" s="140" t="s">
        <v>43</v>
      </c>
      <c r="N9" s="137"/>
      <c r="O9" s="140">
        <v>0</v>
      </c>
      <c r="P9" s="140">
        <v>0</v>
      </c>
      <c r="Q9" s="140" t="s">
        <v>43</v>
      </c>
      <c r="R9" s="125"/>
      <c r="S9" s="2"/>
      <c r="T9" s="2"/>
      <c r="U9" s="2"/>
      <c r="V9" s="11" t="s">
        <v>138</v>
      </c>
      <c r="W9" s="2"/>
      <c r="X9" s="2"/>
      <c r="Y9" s="2"/>
      <c r="Z9" s="2"/>
      <c r="AA9" s="2"/>
      <c r="AB9" s="11" t="s">
        <v>461</v>
      </c>
      <c r="AC9" s="2"/>
      <c r="AD9" s="2"/>
      <c r="AE9" s="2"/>
      <c r="AF9" s="11" t="s">
        <v>151</v>
      </c>
      <c r="AG9" s="2"/>
      <c r="AH9" s="2"/>
      <c r="AI9" s="2"/>
    </row>
    <row r="10" spans="2:35" x14ac:dyDescent="0.55000000000000004">
      <c r="B10" s="135"/>
      <c r="C10" s="140" t="s">
        <v>46</v>
      </c>
      <c r="D10" s="66">
        <v>300</v>
      </c>
      <c r="E10" s="140" t="s">
        <v>228</v>
      </c>
      <c r="F10" s="176"/>
      <c r="G10" s="64"/>
      <c r="H10" s="64"/>
      <c r="I10" s="140" t="s">
        <v>43</v>
      </c>
      <c r="J10" s="137"/>
      <c r="K10" s="64"/>
      <c r="L10" s="64"/>
      <c r="M10" s="140" t="s">
        <v>43</v>
      </c>
      <c r="N10" s="137"/>
      <c r="O10" s="140">
        <v>0</v>
      </c>
      <c r="P10" s="140">
        <v>0</v>
      </c>
      <c r="Q10" s="140" t="s">
        <v>43</v>
      </c>
      <c r="R10" s="125"/>
      <c r="S10" s="2"/>
      <c r="T10" s="2"/>
      <c r="U10" s="2"/>
      <c r="V10" s="2"/>
      <c r="W10" s="2"/>
      <c r="X10" s="2"/>
      <c r="Y10" s="2"/>
      <c r="Z10" s="2"/>
      <c r="AA10" s="2"/>
      <c r="AB10" s="2"/>
      <c r="AC10" s="2"/>
      <c r="AD10" s="2"/>
      <c r="AE10" s="2"/>
      <c r="AF10" s="2"/>
      <c r="AG10" s="2"/>
      <c r="AH10" s="2"/>
      <c r="AI10" s="2"/>
    </row>
    <row r="11" spans="2:35" x14ac:dyDescent="0.55000000000000004">
      <c r="B11" s="135"/>
      <c r="C11" s="140" t="s">
        <v>54</v>
      </c>
      <c r="D11" s="66">
        <v>4000</v>
      </c>
      <c r="E11" s="140" t="s">
        <v>228</v>
      </c>
      <c r="F11" s="176"/>
      <c r="G11" s="64"/>
      <c r="H11" s="64"/>
      <c r="I11" s="140" t="s">
        <v>43</v>
      </c>
      <c r="J11" s="137"/>
      <c r="K11" s="64"/>
      <c r="L11" s="64"/>
      <c r="M11" s="140" t="s">
        <v>43</v>
      </c>
      <c r="N11" s="137"/>
      <c r="O11" s="140">
        <v>0</v>
      </c>
      <c r="P11" s="140">
        <v>0</v>
      </c>
      <c r="Q11" s="140" t="s">
        <v>43</v>
      </c>
      <c r="R11" s="125"/>
      <c r="S11" s="2"/>
      <c r="T11" s="2"/>
      <c r="U11" s="2"/>
      <c r="V11" s="2"/>
      <c r="W11" s="2"/>
      <c r="X11" s="2"/>
      <c r="Y11" s="2"/>
      <c r="Z11" s="2"/>
      <c r="AA11" s="2"/>
      <c r="AB11" s="2"/>
      <c r="AC11" s="2"/>
      <c r="AD11" s="2"/>
      <c r="AE11" s="2"/>
      <c r="AF11" s="2"/>
      <c r="AG11" s="2"/>
      <c r="AH11" s="2"/>
      <c r="AI11" s="2"/>
    </row>
    <row r="12" spans="2:35" x14ac:dyDescent="0.55000000000000004">
      <c r="B12" s="135"/>
      <c r="C12" s="140" t="s">
        <v>60</v>
      </c>
      <c r="D12" s="66">
        <v>1</v>
      </c>
      <c r="E12" s="140" t="s">
        <v>228</v>
      </c>
      <c r="F12" s="176"/>
      <c r="G12" s="64"/>
      <c r="H12" s="64"/>
      <c r="I12" s="140" t="s">
        <v>43</v>
      </c>
      <c r="J12" s="137"/>
      <c r="K12" s="64"/>
      <c r="L12" s="64"/>
      <c r="M12" s="140" t="s">
        <v>43</v>
      </c>
      <c r="N12" s="137"/>
      <c r="O12" s="140">
        <v>0</v>
      </c>
      <c r="P12" s="140">
        <v>0</v>
      </c>
      <c r="Q12" s="140" t="s">
        <v>43</v>
      </c>
      <c r="R12" s="125"/>
      <c r="S12" s="2"/>
      <c r="T12" s="2"/>
      <c r="U12" s="2"/>
      <c r="W12" s="2"/>
      <c r="X12" s="2"/>
      <c r="Y12" s="2"/>
      <c r="Z12" s="2"/>
      <c r="AA12" s="2"/>
      <c r="AB12" s="2"/>
      <c r="AC12" s="2"/>
      <c r="AD12" s="2"/>
      <c r="AE12" s="2"/>
      <c r="AF12" s="2"/>
      <c r="AG12" s="2"/>
      <c r="AH12" s="2"/>
      <c r="AI12" s="2"/>
    </row>
    <row r="13" spans="2:35" x14ac:dyDescent="0.55000000000000004">
      <c r="B13" s="135"/>
      <c r="C13" s="140" t="s">
        <v>392</v>
      </c>
      <c r="D13" s="66">
        <v>105822</v>
      </c>
      <c r="E13" s="140" t="s">
        <v>228</v>
      </c>
      <c r="F13" s="176"/>
      <c r="G13" s="64"/>
      <c r="H13" s="64"/>
      <c r="I13" s="140" t="s">
        <v>43</v>
      </c>
      <c r="J13" s="137"/>
      <c r="K13" s="64"/>
      <c r="L13" s="64"/>
      <c r="M13" s="140" t="s">
        <v>43</v>
      </c>
      <c r="N13" s="137"/>
      <c r="O13" s="140">
        <v>0</v>
      </c>
      <c r="P13" s="140">
        <v>0</v>
      </c>
      <c r="Q13" s="140" t="s">
        <v>43</v>
      </c>
      <c r="R13" s="125"/>
      <c r="S13" s="2"/>
      <c r="T13" s="2"/>
      <c r="U13" s="2"/>
      <c r="V13" s="2"/>
      <c r="W13" s="2"/>
      <c r="X13" s="2"/>
      <c r="Y13" s="2"/>
      <c r="Z13" s="2"/>
      <c r="AA13" s="2"/>
      <c r="AB13" s="2"/>
      <c r="AC13" s="2"/>
      <c r="AD13" s="2"/>
      <c r="AE13" s="2"/>
      <c r="AF13" s="2"/>
      <c r="AG13" s="2"/>
      <c r="AH13" s="2"/>
      <c r="AI13" s="2"/>
    </row>
    <row r="14" spans="2:35" s="51" customFormat="1" x14ac:dyDescent="0.55000000000000004">
      <c r="B14" s="135"/>
      <c r="C14" s="140" t="s">
        <v>393</v>
      </c>
      <c r="D14" s="66">
        <v>27337</v>
      </c>
      <c r="E14" s="140" t="s">
        <v>228</v>
      </c>
      <c r="F14" s="176"/>
      <c r="G14" s="64"/>
      <c r="H14" s="64"/>
      <c r="I14" s="140" t="s">
        <v>43</v>
      </c>
      <c r="J14" s="137"/>
      <c r="K14" s="64"/>
      <c r="L14" s="64"/>
      <c r="M14" s="140" t="s">
        <v>43</v>
      </c>
      <c r="N14" s="137"/>
      <c r="O14" s="140">
        <v>0</v>
      </c>
      <c r="P14" s="140">
        <v>0</v>
      </c>
      <c r="Q14" s="140" t="s">
        <v>43</v>
      </c>
      <c r="R14" s="125"/>
      <c r="S14" s="42"/>
      <c r="T14" s="42"/>
      <c r="U14" s="42"/>
      <c r="V14" s="42"/>
      <c r="W14" s="42"/>
      <c r="X14" s="42"/>
      <c r="Y14" s="42"/>
      <c r="Z14" s="42"/>
      <c r="AA14" s="42"/>
      <c r="AB14" s="42"/>
      <c r="AC14" s="42"/>
      <c r="AD14" s="42"/>
      <c r="AE14" s="42"/>
      <c r="AF14" s="42"/>
      <c r="AG14" s="42"/>
      <c r="AH14" s="42"/>
      <c r="AI14" s="42"/>
    </row>
    <row r="15" spans="2:35" x14ac:dyDescent="0.55000000000000004">
      <c r="B15" s="135"/>
      <c r="C15" s="140" t="s">
        <v>61</v>
      </c>
      <c r="D15" s="66">
        <v>3500</v>
      </c>
      <c r="E15" s="140" t="s">
        <v>228</v>
      </c>
      <c r="F15" s="176"/>
      <c r="G15" s="64"/>
      <c r="H15" s="64"/>
      <c r="I15" s="140" t="s">
        <v>43</v>
      </c>
      <c r="J15" s="137"/>
      <c r="K15" s="64"/>
      <c r="L15" s="64"/>
      <c r="M15" s="140" t="s">
        <v>43</v>
      </c>
      <c r="N15" s="137"/>
      <c r="O15" s="140">
        <v>0</v>
      </c>
      <c r="P15" s="140">
        <v>0</v>
      </c>
      <c r="Q15" s="140" t="s">
        <v>43</v>
      </c>
      <c r="R15" s="125"/>
      <c r="S15" s="2"/>
      <c r="T15" s="2"/>
      <c r="U15" s="26"/>
      <c r="V15" s="26"/>
      <c r="W15" s="27"/>
      <c r="X15" s="2"/>
      <c r="Y15" s="2"/>
      <c r="Z15" s="2"/>
      <c r="AA15" s="13"/>
      <c r="AB15" s="13"/>
      <c r="AC15" s="14"/>
      <c r="AD15" s="2"/>
      <c r="AE15" s="16"/>
      <c r="AF15" s="16"/>
      <c r="AG15" s="16"/>
      <c r="AH15" s="2"/>
      <c r="AI15" s="2"/>
    </row>
    <row r="16" spans="2:35" ht="15.6" x14ac:dyDescent="0.6">
      <c r="B16" s="135"/>
      <c r="C16" s="140" t="s">
        <v>63</v>
      </c>
      <c r="D16" s="66">
        <v>12.5</v>
      </c>
      <c r="E16" s="140" t="s">
        <v>228</v>
      </c>
      <c r="F16" s="176"/>
      <c r="G16" s="64"/>
      <c r="H16" s="64"/>
      <c r="I16" s="140" t="s">
        <v>43</v>
      </c>
      <c r="J16" s="137"/>
      <c r="K16" s="64"/>
      <c r="L16" s="64"/>
      <c r="M16" s="140" t="s">
        <v>43</v>
      </c>
      <c r="N16" s="137"/>
      <c r="O16" s="140">
        <v>0</v>
      </c>
      <c r="P16" s="140">
        <v>0</v>
      </c>
      <c r="Q16" s="140" t="s">
        <v>43</v>
      </c>
      <c r="R16" s="125"/>
      <c r="T16" s="12" t="s">
        <v>136</v>
      </c>
      <c r="U16" s="26"/>
      <c r="V16" s="26"/>
      <c r="W16" s="27"/>
      <c r="X16" s="2"/>
      <c r="Z16" s="12" t="s">
        <v>137</v>
      </c>
      <c r="AA16" s="13"/>
      <c r="AB16" s="13"/>
      <c r="AC16" s="14"/>
      <c r="AD16" s="12" t="s">
        <v>140</v>
      </c>
      <c r="AE16" s="16"/>
      <c r="AF16" s="16"/>
      <c r="AG16" s="16"/>
      <c r="AH16" s="11" t="s">
        <v>152</v>
      </c>
      <c r="AI16" s="2"/>
    </row>
    <row r="17" spans="2:35" ht="18.3" x14ac:dyDescent="0.7">
      <c r="B17" s="135"/>
      <c r="C17" s="140" t="s">
        <v>147</v>
      </c>
      <c r="D17" s="67"/>
      <c r="E17" s="140" t="s">
        <v>228</v>
      </c>
      <c r="F17" s="176"/>
      <c r="G17" s="64"/>
      <c r="H17" s="64"/>
      <c r="I17" s="140" t="s">
        <v>43</v>
      </c>
      <c r="J17" s="137"/>
      <c r="K17" s="64"/>
      <c r="L17" s="64"/>
      <c r="M17" s="140" t="s">
        <v>43</v>
      </c>
      <c r="N17" s="137"/>
      <c r="O17" s="140">
        <v>0</v>
      </c>
      <c r="P17" s="140">
        <v>0</v>
      </c>
      <c r="Q17" s="140" t="s">
        <v>43</v>
      </c>
      <c r="R17" s="125"/>
      <c r="S17" s="2"/>
      <c r="T17" s="2"/>
      <c r="U17" s="26"/>
      <c r="V17" s="28" t="str">
        <f>G3</f>
        <v>Select</v>
      </c>
      <c r="W17" s="27"/>
      <c r="X17" s="2"/>
      <c r="Y17" s="2"/>
      <c r="Z17" s="2"/>
      <c r="AA17" s="13"/>
      <c r="AB17" s="17" t="str">
        <f>K3</f>
        <v xml:space="preserve">Upgrading </v>
      </c>
      <c r="AC17" s="14"/>
      <c r="AD17" s="2"/>
      <c r="AE17" s="16"/>
      <c r="AF17" s="18" t="str">
        <f>O3</f>
        <v>Refinery</v>
      </c>
      <c r="AG17" s="16"/>
      <c r="AH17" s="2"/>
      <c r="AI17" s="2"/>
    </row>
    <row r="18" spans="2:35" s="51" customFormat="1" ht="18.3" x14ac:dyDescent="0.7">
      <c r="B18" s="135"/>
      <c r="C18" s="140" t="s">
        <v>396</v>
      </c>
      <c r="D18" s="68">
        <v>24.2</v>
      </c>
      <c r="E18" s="140" t="s">
        <v>228</v>
      </c>
      <c r="F18" s="176"/>
      <c r="G18" s="64"/>
      <c r="H18" s="64"/>
      <c r="I18" s="140" t="s">
        <v>43</v>
      </c>
      <c r="J18" s="137"/>
      <c r="K18" s="64"/>
      <c r="L18" s="64"/>
      <c r="M18" s="140" t="s">
        <v>43</v>
      </c>
      <c r="N18" s="137"/>
      <c r="O18" s="140">
        <v>0</v>
      </c>
      <c r="P18" s="140">
        <v>0</v>
      </c>
      <c r="Q18" s="140" t="s">
        <v>43</v>
      </c>
      <c r="R18" s="125"/>
      <c r="S18" s="42"/>
      <c r="T18" s="42"/>
      <c r="U18" s="26"/>
      <c r="V18" s="53"/>
      <c r="W18" s="27"/>
      <c r="X18" s="42"/>
      <c r="Y18" s="42"/>
      <c r="Z18" s="42"/>
      <c r="AA18" s="13"/>
      <c r="AB18" s="54"/>
      <c r="AC18" s="14"/>
      <c r="AD18" s="42"/>
      <c r="AE18" s="16"/>
      <c r="AF18" s="18"/>
      <c r="AG18" s="16"/>
      <c r="AH18" s="42"/>
      <c r="AI18" s="42"/>
    </row>
    <row r="19" spans="2:35" x14ac:dyDescent="0.55000000000000004">
      <c r="B19" s="135"/>
      <c r="C19" s="140" t="s">
        <v>207</v>
      </c>
      <c r="D19" s="66">
        <v>402</v>
      </c>
      <c r="E19" s="140" t="s">
        <v>228</v>
      </c>
      <c r="F19" s="176"/>
      <c r="G19" s="140">
        <v>0</v>
      </c>
      <c r="H19" s="64"/>
      <c r="I19" s="140" t="s">
        <v>43</v>
      </c>
      <c r="J19" s="137"/>
      <c r="K19" s="64"/>
      <c r="L19" s="64"/>
      <c r="M19" s="140" t="s">
        <v>43</v>
      </c>
      <c r="N19" s="137"/>
      <c r="O19" s="64"/>
      <c r="P19" s="64"/>
      <c r="Q19" s="140" t="s">
        <v>43</v>
      </c>
      <c r="R19" s="125"/>
      <c r="S19" s="2"/>
      <c r="Z19" s="2"/>
      <c r="AA19" s="2"/>
      <c r="AB19" s="42"/>
      <c r="AC19" s="42"/>
      <c r="AD19" s="42"/>
      <c r="AE19" s="42"/>
      <c r="AF19" s="42"/>
      <c r="AG19" s="42"/>
      <c r="AH19" s="2"/>
      <c r="AI19" s="2"/>
    </row>
    <row r="20" spans="2:35" s="8" customFormat="1" x14ac:dyDescent="0.55000000000000004">
      <c r="B20" s="135"/>
      <c r="C20" s="140" t="s">
        <v>209</v>
      </c>
      <c r="D20" s="69"/>
      <c r="E20" s="140" t="s">
        <v>228</v>
      </c>
      <c r="F20" s="176"/>
      <c r="G20" s="140">
        <v>0</v>
      </c>
      <c r="H20" s="140">
        <v>0</v>
      </c>
      <c r="I20" s="140" t="s">
        <v>43</v>
      </c>
      <c r="J20" s="137"/>
      <c r="K20" s="140">
        <v>0</v>
      </c>
      <c r="L20" s="64"/>
      <c r="M20" s="140" t="s">
        <v>43</v>
      </c>
      <c r="N20" s="137"/>
      <c r="O20" s="64"/>
      <c r="P20" s="64"/>
      <c r="Q20" s="140" t="s">
        <v>43</v>
      </c>
      <c r="R20" s="125"/>
      <c r="S20" s="2"/>
      <c r="Z20" s="2"/>
      <c r="AA20" s="2"/>
      <c r="AB20" s="42"/>
      <c r="AC20" s="42"/>
      <c r="AD20" s="42"/>
      <c r="AE20" s="42"/>
      <c r="AF20" s="42"/>
      <c r="AG20" s="42"/>
      <c r="AH20" s="2"/>
      <c r="AI20" s="2"/>
    </row>
    <row r="21" spans="2:35" x14ac:dyDescent="0.55000000000000004">
      <c r="B21" s="135"/>
      <c r="C21" s="140" t="s">
        <v>210</v>
      </c>
      <c r="D21" s="66"/>
      <c r="E21" s="140" t="s">
        <v>228</v>
      </c>
      <c r="F21" s="176"/>
      <c r="G21" s="140">
        <v>0</v>
      </c>
      <c r="H21" s="140">
        <v>0</v>
      </c>
      <c r="I21" s="140" t="s">
        <v>43</v>
      </c>
      <c r="J21" s="137"/>
      <c r="K21" s="140">
        <v>0</v>
      </c>
      <c r="L21" s="64"/>
      <c r="M21" s="140" t="s">
        <v>43</v>
      </c>
      <c r="N21" s="137"/>
      <c r="O21" s="64"/>
      <c r="P21" s="64"/>
      <c r="Q21" s="140" t="s">
        <v>43</v>
      </c>
      <c r="R21" s="125"/>
      <c r="S21" s="2"/>
      <c r="T21" s="2"/>
      <c r="U21" s="2"/>
      <c r="V21" s="2"/>
      <c r="W21" s="2"/>
      <c r="X21" s="2"/>
      <c r="Y21" s="2"/>
      <c r="Z21" s="2"/>
      <c r="AA21" s="2"/>
      <c r="AB21" s="2"/>
      <c r="AC21" s="2"/>
      <c r="AD21" s="2"/>
      <c r="AE21" s="2"/>
      <c r="AF21" s="2"/>
      <c r="AG21" s="2"/>
      <c r="AH21" s="2"/>
      <c r="AI21" s="2"/>
    </row>
    <row r="22" spans="2:35" s="19" customFormat="1" x14ac:dyDescent="0.55000000000000004">
      <c r="B22" s="135"/>
      <c r="C22" s="140" t="s">
        <v>166</v>
      </c>
      <c r="D22" s="143">
        <v>0</v>
      </c>
      <c r="E22" s="140" t="s">
        <v>228</v>
      </c>
      <c r="F22" s="176"/>
      <c r="G22" s="140">
        <v>0</v>
      </c>
      <c r="H22" s="140">
        <v>0</v>
      </c>
      <c r="I22" s="140" t="s">
        <v>43</v>
      </c>
      <c r="J22" s="137"/>
      <c r="K22" s="140">
        <v>0</v>
      </c>
      <c r="L22" s="140">
        <v>0</v>
      </c>
      <c r="M22" s="140" t="s">
        <v>43</v>
      </c>
      <c r="N22" s="137"/>
      <c r="O22" s="64"/>
      <c r="P22" s="64"/>
      <c r="Q22" s="140" t="s">
        <v>43</v>
      </c>
      <c r="R22" s="125"/>
      <c r="S22" s="2"/>
      <c r="T22" s="2"/>
      <c r="U22" s="2"/>
      <c r="V22" s="2"/>
      <c r="W22" s="2"/>
      <c r="X22" s="2"/>
      <c r="Y22" s="2"/>
      <c r="Z22" s="2"/>
      <c r="AA22" s="2"/>
      <c r="AB22" s="2"/>
      <c r="AC22" s="2"/>
      <c r="AD22" s="2"/>
      <c r="AE22" s="2"/>
      <c r="AF22" s="2"/>
      <c r="AG22" s="2"/>
      <c r="AH22" s="2"/>
      <c r="AI22" s="2"/>
    </row>
    <row r="23" spans="2:35" x14ac:dyDescent="0.55000000000000004">
      <c r="B23" s="135"/>
      <c r="C23" s="64" t="s">
        <v>437</v>
      </c>
      <c r="D23" s="144">
        <v>0</v>
      </c>
      <c r="E23" s="140" t="s">
        <v>228</v>
      </c>
      <c r="F23" s="176"/>
      <c r="G23" s="140">
        <v>0</v>
      </c>
      <c r="H23" s="140">
        <v>0</v>
      </c>
      <c r="I23" s="140" t="s">
        <v>43</v>
      </c>
      <c r="J23" s="137"/>
      <c r="K23" s="140">
        <v>0</v>
      </c>
      <c r="L23" s="140">
        <v>0</v>
      </c>
      <c r="M23" s="140" t="s">
        <v>43</v>
      </c>
      <c r="N23" s="137"/>
      <c r="O23" s="64"/>
      <c r="P23" s="64"/>
      <c r="Q23" s="140" t="s">
        <v>43</v>
      </c>
      <c r="R23" s="125"/>
      <c r="S23" s="2"/>
      <c r="T23" s="2"/>
      <c r="U23" s="2"/>
      <c r="V23" s="2"/>
      <c r="W23" s="2"/>
      <c r="X23" s="2"/>
      <c r="Y23" s="2"/>
      <c r="Z23" s="2"/>
      <c r="AA23" s="2"/>
      <c r="AB23" s="2"/>
      <c r="AC23" s="2"/>
      <c r="AD23" s="2"/>
      <c r="AE23" s="2"/>
      <c r="AF23" s="2"/>
      <c r="AG23" s="2"/>
      <c r="AH23" s="2"/>
      <c r="AI23" s="2"/>
    </row>
    <row r="24" spans="2:35" x14ac:dyDescent="0.55000000000000004">
      <c r="B24" s="135"/>
      <c r="C24" s="64" t="s">
        <v>438</v>
      </c>
      <c r="D24" s="144">
        <v>0</v>
      </c>
      <c r="E24" s="140" t="s">
        <v>228</v>
      </c>
      <c r="F24" s="176"/>
      <c r="G24" s="140">
        <v>0</v>
      </c>
      <c r="H24" s="140">
        <v>0</v>
      </c>
      <c r="I24" s="140" t="s">
        <v>43</v>
      </c>
      <c r="J24" s="137"/>
      <c r="K24" s="140">
        <v>0</v>
      </c>
      <c r="L24" s="140">
        <v>0</v>
      </c>
      <c r="M24" s="140" t="s">
        <v>43</v>
      </c>
      <c r="N24" s="137"/>
      <c r="O24" s="64"/>
      <c r="P24" s="64"/>
      <c r="Q24" s="140" t="s">
        <v>43</v>
      </c>
      <c r="R24" s="125"/>
      <c r="S24" s="2"/>
      <c r="T24" s="2"/>
      <c r="U24" s="2"/>
      <c r="V24" s="2"/>
      <c r="W24" s="2"/>
      <c r="X24" s="2"/>
      <c r="Y24" s="2"/>
      <c r="Z24" s="2"/>
      <c r="AA24" s="2"/>
      <c r="AB24" s="2"/>
      <c r="AC24" s="2"/>
      <c r="AD24" s="2"/>
      <c r="AE24" s="2"/>
      <c r="AF24" s="2"/>
      <c r="AG24" s="2"/>
      <c r="AH24" s="2"/>
      <c r="AI24" s="2"/>
    </row>
    <row r="25" spans="2:35" s="10" customFormat="1" x14ac:dyDescent="0.55000000000000004">
      <c r="B25" s="135"/>
      <c r="C25" s="64" t="s">
        <v>439</v>
      </c>
      <c r="D25" s="144">
        <v>0</v>
      </c>
      <c r="E25" s="140" t="s">
        <v>228</v>
      </c>
      <c r="F25" s="176"/>
      <c r="G25" s="140">
        <v>0</v>
      </c>
      <c r="H25" s="140">
        <v>0</v>
      </c>
      <c r="I25" s="140" t="s">
        <v>43</v>
      </c>
      <c r="J25" s="137"/>
      <c r="K25" s="140">
        <v>0</v>
      </c>
      <c r="L25" s="140">
        <v>0</v>
      </c>
      <c r="M25" s="140" t="s">
        <v>43</v>
      </c>
      <c r="N25" s="137"/>
      <c r="O25" s="64"/>
      <c r="P25" s="64"/>
      <c r="Q25" s="140" t="s">
        <v>43</v>
      </c>
      <c r="R25" s="125"/>
      <c r="S25" s="2"/>
      <c r="T25" s="2"/>
      <c r="U25" s="2"/>
      <c r="V25" s="2"/>
      <c r="W25" s="2"/>
      <c r="X25" s="2"/>
      <c r="Y25" s="2"/>
      <c r="Z25" s="2"/>
      <c r="AA25" s="2"/>
      <c r="AB25" s="2"/>
      <c r="AC25" s="2"/>
      <c r="AD25" s="2"/>
      <c r="AE25" s="2"/>
      <c r="AF25" s="2"/>
      <c r="AG25" s="2"/>
      <c r="AH25" s="2"/>
      <c r="AI25" s="2"/>
    </row>
    <row r="26" spans="2:35" s="10" customFormat="1" ht="15.6" x14ac:dyDescent="0.6">
      <c r="B26" s="135"/>
      <c r="C26" s="64" t="s">
        <v>440</v>
      </c>
      <c r="D26" s="144">
        <v>0</v>
      </c>
      <c r="E26" s="140" t="s">
        <v>228</v>
      </c>
      <c r="F26" s="176"/>
      <c r="G26" s="140">
        <v>0</v>
      </c>
      <c r="H26" s="140">
        <v>0</v>
      </c>
      <c r="I26" s="140" t="s">
        <v>43</v>
      </c>
      <c r="J26" s="137"/>
      <c r="K26" s="140">
        <v>0</v>
      </c>
      <c r="L26" s="140">
        <v>0</v>
      </c>
      <c r="M26" s="140" t="s">
        <v>43</v>
      </c>
      <c r="N26" s="137"/>
      <c r="O26" s="64"/>
      <c r="P26" s="64"/>
      <c r="Q26" s="140" t="s">
        <v>43</v>
      </c>
      <c r="R26" s="125"/>
      <c r="S26" s="2"/>
      <c r="T26" s="2"/>
      <c r="U26" s="12" t="s">
        <v>139</v>
      </c>
      <c r="W26" s="11" t="s">
        <v>353</v>
      </c>
      <c r="X26" s="2"/>
      <c r="Y26" s="2"/>
      <c r="Z26" s="2"/>
      <c r="AA26" s="2"/>
      <c r="AB26" s="11" t="s">
        <v>378</v>
      </c>
      <c r="AC26" s="2"/>
      <c r="AD26" s="2"/>
      <c r="AE26" s="2"/>
      <c r="AF26" s="2"/>
      <c r="AG26" s="2"/>
      <c r="AH26" s="2"/>
      <c r="AI26" s="2"/>
    </row>
    <row r="27" spans="2:35" s="10" customFormat="1" x14ac:dyDescent="0.55000000000000004">
      <c r="B27" s="135"/>
      <c r="C27" s="64" t="s">
        <v>441</v>
      </c>
      <c r="D27" s="144">
        <v>0</v>
      </c>
      <c r="E27" s="140" t="s">
        <v>228</v>
      </c>
      <c r="F27" s="176"/>
      <c r="G27" s="140">
        <v>0</v>
      </c>
      <c r="H27" s="140">
        <v>0</v>
      </c>
      <c r="I27" s="140" t="s">
        <v>43</v>
      </c>
      <c r="J27" s="137"/>
      <c r="K27" s="140">
        <v>0</v>
      </c>
      <c r="L27" s="140">
        <v>0</v>
      </c>
      <c r="M27" s="140" t="s">
        <v>43</v>
      </c>
      <c r="N27" s="137"/>
      <c r="O27" s="64"/>
      <c r="P27" s="64"/>
      <c r="Q27" s="140" t="s">
        <v>43</v>
      </c>
      <c r="R27" s="125"/>
      <c r="S27" s="2"/>
      <c r="T27" s="2"/>
      <c r="U27" s="2"/>
      <c r="V27" s="2"/>
      <c r="W27" s="2"/>
      <c r="X27" s="2"/>
      <c r="Y27" s="2"/>
      <c r="Z27" s="2"/>
      <c r="AA27" s="2"/>
      <c r="AB27" s="2"/>
      <c r="AC27" s="2"/>
      <c r="AD27" s="2"/>
      <c r="AE27" s="2"/>
      <c r="AF27" s="2"/>
      <c r="AG27" s="2"/>
      <c r="AH27" s="2"/>
      <c r="AI27" s="2"/>
    </row>
    <row r="28" spans="2:35" s="10" customFormat="1" x14ac:dyDescent="0.55000000000000004">
      <c r="B28" s="135"/>
      <c r="C28" s="64" t="s">
        <v>442</v>
      </c>
      <c r="D28" s="144">
        <v>0</v>
      </c>
      <c r="E28" s="140" t="s">
        <v>228</v>
      </c>
      <c r="F28" s="176"/>
      <c r="G28" s="140">
        <v>0</v>
      </c>
      <c r="H28" s="140">
        <v>0</v>
      </c>
      <c r="I28" s="140" t="s">
        <v>43</v>
      </c>
      <c r="J28" s="137"/>
      <c r="K28" s="140">
        <v>0</v>
      </c>
      <c r="L28" s="140">
        <v>0</v>
      </c>
      <c r="M28" s="140" t="s">
        <v>43</v>
      </c>
      <c r="N28" s="137"/>
      <c r="O28" s="64"/>
      <c r="P28" s="64"/>
      <c r="Q28" s="140" t="s">
        <v>43</v>
      </c>
      <c r="R28" s="125"/>
    </row>
    <row r="29" spans="2:35" s="51" customFormat="1" x14ac:dyDescent="0.55000000000000004">
      <c r="B29" s="135"/>
      <c r="C29" s="64" t="s">
        <v>443</v>
      </c>
      <c r="D29" s="144">
        <v>0</v>
      </c>
      <c r="E29" s="140" t="s">
        <v>228</v>
      </c>
      <c r="F29" s="176"/>
      <c r="G29" s="140">
        <v>0</v>
      </c>
      <c r="H29" s="140">
        <v>0</v>
      </c>
      <c r="I29" s="140" t="s">
        <v>43</v>
      </c>
      <c r="J29" s="137"/>
      <c r="K29" s="140">
        <v>0</v>
      </c>
      <c r="L29" s="140">
        <v>0</v>
      </c>
      <c r="M29" s="140" t="s">
        <v>43</v>
      </c>
      <c r="N29" s="137"/>
      <c r="O29" s="64"/>
      <c r="P29" s="64"/>
      <c r="Q29" s="140" t="s">
        <v>43</v>
      </c>
      <c r="R29" s="125"/>
    </row>
    <row r="30" spans="2:35" s="51" customFormat="1" x14ac:dyDescent="0.55000000000000004">
      <c r="B30" s="135"/>
      <c r="C30" s="178" t="s">
        <v>418</v>
      </c>
      <c r="D30" s="179"/>
      <c r="E30" s="180"/>
      <c r="F30" s="176"/>
      <c r="G30" s="184">
        <f>SUM(G6:G29,G36)*G4</f>
        <v>0</v>
      </c>
      <c r="H30" s="184">
        <f>SUM(H6:H29,H36)*G4</f>
        <v>0</v>
      </c>
      <c r="I30" s="186" t="s">
        <v>43</v>
      </c>
      <c r="J30" s="137"/>
      <c r="K30" s="184">
        <f>SUM(K6:K29)+K36</f>
        <v>0</v>
      </c>
      <c r="L30" s="184">
        <f>SUM(L6:L29)+L36</f>
        <v>0</v>
      </c>
      <c r="M30" s="186" t="s">
        <v>7</v>
      </c>
      <c r="N30" s="137"/>
      <c r="O30" s="220">
        <f>SUM(O6:O29)</f>
        <v>0</v>
      </c>
      <c r="P30" s="220">
        <f>SUM(P6:P29)</f>
        <v>0</v>
      </c>
      <c r="Q30" s="218" t="s">
        <v>43</v>
      </c>
      <c r="R30" s="125"/>
    </row>
    <row r="31" spans="2:35" s="10" customFormat="1" x14ac:dyDescent="0.55000000000000004">
      <c r="B31" s="145"/>
      <c r="C31" s="181"/>
      <c r="D31" s="182"/>
      <c r="E31" s="183"/>
      <c r="F31" s="177"/>
      <c r="G31" s="185"/>
      <c r="H31" s="185"/>
      <c r="I31" s="187"/>
      <c r="J31" s="146"/>
      <c r="K31" s="185"/>
      <c r="L31" s="185"/>
      <c r="M31" s="187"/>
      <c r="N31" s="146"/>
      <c r="O31" s="221"/>
      <c r="P31" s="221"/>
      <c r="Q31" s="219"/>
      <c r="R31" s="125"/>
    </row>
    <row r="32" spans="2:35" s="10" customFormat="1" x14ac:dyDescent="0.55000000000000004">
      <c r="B32" s="122"/>
      <c r="C32" s="124"/>
      <c r="D32" s="123"/>
      <c r="E32" s="124"/>
      <c r="F32" s="124"/>
      <c r="G32" s="124"/>
      <c r="H32" s="124"/>
      <c r="I32" s="124"/>
      <c r="J32" s="124"/>
      <c r="K32" s="124"/>
      <c r="L32" s="124"/>
      <c r="M32" s="124"/>
      <c r="N32" s="124"/>
      <c r="O32" s="130"/>
      <c r="P32" s="130"/>
      <c r="Q32" s="130"/>
      <c r="R32" s="125"/>
    </row>
    <row r="33" spans="2:35" s="9" customFormat="1" x14ac:dyDescent="0.55000000000000004">
      <c r="B33" s="147" t="s">
        <v>53</v>
      </c>
      <c r="C33" s="209"/>
      <c r="D33" s="210"/>
      <c r="E33" s="210"/>
      <c r="F33" s="210"/>
      <c r="G33" s="210"/>
      <c r="H33" s="210"/>
      <c r="I33" s="210"/>
      <c r="J33" s="210"/>
      <c r="K33" s="210"/>
      <c r="L33" s="210"/>
      <c r="M33" s="211"/>
      <c r="N33" s="137"/>
      <c r="O33" s="137"/>
      <c r="P33" s="137"/>
      <c r="Q33" s="137"/>
      <c r="R33" s="148"/>
      <c r="S33" s="10"/>
      <c r="T33" s="10"/>
      <c r="U33" s="10"/>
      <c r="V33" s="10"/>
      <c r="W33" s="10"/>
      <c r="X33" s="10"/>
      <c r="Y33" s="10"/>
      <c r="Z33" s="10"/>
      <c r="AA33" s="10"/>
      <c r="AB33" s="10"/>
      <c r="AC33" s="10"/>
      <c r="AD33" s="10"/>
      <c r="AE33" s="10"/>
      <c r="AF33" s="10"/>
      <c r="AG33" s="10"/>
      <c r="AH33" s="10"/>
      <c r="AI33" s="10"/>
    </row>
    <row r="34" spans="2:35" x14ac:dyDescent="0.55000000000000004">
      <c r="B34" s="135"/>
      <c r="C34" s="140"/>
      <c r="D34" s="140" t="s">
        <v>226</v>
      </c>
      <c r="E34" s="140" t="s">
        <v>68</v>
      </c>
      <c r="F34" s="175"/>
      <c r="G34" s="149" t="s">
        <v>143</v>
      </c>
      <c r="H34" s="150" t="s">
        <v>146</v>
      </c>
      <c r="I34" s="141" t="s">
        <v>68</v>
      </c>
      <c r="J34" s="151"/>
      <c r="K34" s="149" t="s">
        <v>375</v>
      </c>
      <c r="L34" s="149" t="s">
        <v>376</v>
      </c>
      <c r="M34" s="141" t="s">
        <v>68</v>
      </c>
      <c r="N34" s="137"/>
      <c r="O34" s="137"/>
      <c r="P34" s="137"/>
      <c r="Q34" s="137"/>
      <c r="R34" s="148"/>
      <c r="S34" s="10"/>
      <c r="T34" s="10"/>
      <c r="U34" s="10"/>
      <c r="V34" s="10"/>
      <c r="W34" s="10"/>
      <c r="X34" s="10"/>
      <c r="Y34" s="10"/>
      <c r="Z34" s="10"/>
      <c r="AA34" s="10"/>
      <c r="AB34" s="10"/>
      <c r="AC34" s="10"/>
      <c r="AD34" s="10"/>
      <c r="AE34" s="10"/>
      <c r="AF34" s="10"/>
      <c r="AG34" s="10"/>
      <c r="AH34" s="10"/>
      <c r="AI34" s="10"/>
    </row>
    <row r="35" spans="2:35" s="51" customFormat="1" x14ac:dyDescent="0.55000000000000004">
      <c r="B35" s="135"/>
      <c r="C35" s="140" t="s">
        <v>432</v>
      </c>
      <c r="D35" s="71">
        <v>4</v>
      </c>
      <c r="E35" s="140" t="s">
        <v>433</v>
      </c>
      <c r="F35" s="176"/>
      <c r="G35" s="64"/>
      <c r="H35" s="64"/>
      <c r="I35" s="140" t="s">
        <v>434</v>
      </c>
      <c r="J35" s="152"/>
      <c r="K35" s="64"/>
      <c r="L35" s="64"/>
      <c r="M35" s="140" t="s">
        <v>434</v>
      </c>
      <c r="N35" s="137"/>
      <c r="O35" s="137"/>
      <c r="P35" s="137"/>
      <c r="Q35" s="137"/>
      <c r="R35" s="148"/>
    </row>
    <row r="36" spans="2:35" x14ac:dyDescent="0.55000000000000004">
      <c r="B36" s="135"/>
      <c r="C36" s="140" t="s">
        <v>45</v>
      </c>
      <c r="D36" s="71">
        <v>0.19</v>
      </c>
      <c r="E36" s="140" t="s">
        <v>228</v>
      </c>
      <c r="F36" s="176"/>
      <c r="G36" s="64"/>
      <c r="H36" s="64"/>
      <c r="I36" s="140" t="s">
        <v>43</v>
      </c>
      <c r="J36" s="152"/>
      <c r="K36" s="64"/>
      <c r="L36" s="64"/>
      <c r="M36" s="140" t="s">
        <v>43</v>
      </c>
      <c r="N36" s="137"/>
      <c r="O36" s="137"/>
      <c r="P36" s="137"/>
      <c r="Q36" s="137"/>
      <c r="R36" s="148"/>
      <c r="S36" s="10"/>
      <c r="T36" s="10"/>
      <c r="U36" s="10"/>
      <c r="V36" s="10"/>
      <c r="W36" s="10"/>
      <c r="X36" s="10"/>
      <c r="Y36" s="10"/>
      <c r="Z36" s="10"/>
      <c r="AA36" s="10"/>
      <c r="AB36" s="10"/>
      <c r="AC36" s="10"/>
      <c r="AD36" s="10"/>
      <c r="AE36" s="10"/>
      <c r="AF36" s="10"/>
      <c r="AG36" s="10"/>
      <c r="AH36" s="10"/>
      <c r="AI36" s="10"/>
    </row>
    <row r="37" spans="2:35" x14ac:dyDescent="0.55000000000000004">
      <c r="B37" s="135"/>
      <c r="C37" s="215" t="s">
        <v>44</v>
      </c>
      <c r="D37" s="217">
        <v>0.04</v>
      </c>
      <c r="E37" s="215" t="s">
        <v>228</v>
      </c>
      <c r="F37" s="176"/>
      <c r="G37" s="64"/>
      <c r="H37" s="64"/>
      <c r="I37" s="140" t="s">
        <v>66</v>
      </c>
      <c r="J37" s="152"/>
      <c r="K37" s="64"/>
      <c r="L37" s="64"/>
      <c r="M37" s="140" t="s">
        <v>66</v>
      </c>
      <c r="N37" s="137"/>
      <c r="O37" s="137"/>
      <c r="P37" s="137"/>
      <c r="Q37" s="137"/>
      <c r="R37" s="148"/>
      <c r="S37" s="10"/>
      <c r="T37" s="10"/>
      <c r="U37" s="10"/>
      <c r="V37" s="10"/>
      <c r="W37" s="10"/>
      <c r="X37" s="10"/>
      <c r="Y37" s="10"/>
      <c r="Z37" s="10"/>
      <c r="AA37" s="10"/>
      <c r="AB37" s="10"/>
      <c r="AC37" s="10"/>
      <c r="AD37" s="10"/>
      <c r="AE37" s="10"/>
      <c r="AF37" s="10"/>
      <c r="AG37" s="10"/>
      <c r="AH37" s="10"/>
      <c r="AI37" s="10"/>
    </row>
    <row r="38" spans="2:35" s="51" customFormat="1" x14ac:dyDescent="0.55000000000000004">
      <c r="B38" s="135"/>
      <c r="C38" s="216"/>
      <c r="D38" s="217"/>
      <c r="E38" s="216"/>
      <c r="F38" s="176"/>
      <c r="G38" s="64"/>
      <c r="H38" s="64"/>
      <c r="I38" s="140" t="s">
        <v>43</v>
      </c>
      <c r="J38" s="152"/>
      <c r="K38" s="64"/>
      <c r="L38" s="64"/>
      <c r="M38" s="140" t="s">
        <v>43</v>
      </c>
      <c r="N38" s="137"/>
      <c r="O38" s="137"/>
      <c r="P38" s="137"/>
      <c r="Q38" s="137"/>
      <c r="R38" s="148"/>
    </row>
    <row r="39" spans="2:35" x14ac:dyDescent="0.55000000000000004">
      <c r="B39" s="135"/>
      <c r="C39" s="140" t="s">
        <v>47</v>
      </c>
      <c r="D39" s="71">
        <v>5.1100000000000003</v>
      </c>
      <c r="E39" s="140" t="s">
        <v>228</v>
      </c>
      <c r="F39" s="176"/>
      <c r="G39" s="64"/>
      <c r="H39" s="64"/>
      <c r="I39" s="140" t="s">
        <v>43</v>
      </c>
      <c r="J39" s="152"/>
      <c r="K39" s="64"/>
      <c r="L39" s="64"/>
      <c r="M39" s="140" t="s">
        <v>43</v>
      </c>
      <c r="N39" s="137"/>
      <c r="O39" s="137"/>
      <c r="P39" s="137"/>
      <c r="Q39" s="137"/>
      <c r="R39" s="148"/>
      <c r="S39" s="10"/>
      <c r="T39" s="10"/>
      <c r="U39" s="10"/>
      <c r="V39" s="10"/>
      <c r="W39" s="10"/>
      <c r="X39" s="10"/>
      <c r="Y39" s="10"/>
      <c r="Z39" s="10"/>
      <c r="AA39" s="10"/>
      <c r="AB39" s="10"/>
      <c r="AC39" s="10"/>
      <c r="AD39" s="10"/>
      <c r="AE39" s="10"/>
      <c r="AF39" s="10"/>
      <c r="AG39" s="10"/>
      <c r="AH39" s="10"/>
      <c r="AI39" s="10"/>
    </row>
    <row r="40" spans="2:35" x14ac:dyDescent="0.55000000000000004">
      <c r="B40" s="135"/>
      <c r="C40" s="140" t="s">
        <v>48</v>
      </c>
      <c r="D40" s="72">
        <v>0.06</v>
      </c>
      <c r="E40" s="140" t="s">
        <v>428</v>
      </c>
      <c r="F40" s="177"/>
      <c r="G40" s="64"/>
      <c r="H40" s="64"/>
      <c r="I40" s="153" t="s">
        <v>66</v>
      </c>
      <c r="J40" s="154"/>
      <c r="K40" s="64"/>
      <c r="L40" s="64"/>
      <c r="M40" s="140" t="s">
        <v>301</v>
      </c>
      <c r="N40" s="137"/>
      <c r="O40" s="137"/>
      <c r="P40" s="137"/>
      <c r="Q40" s="137"/>
      <c r="R40" s="148"/>
      <c r="S40" s="10"/>
      <c r="T40" s="10"/>
      <c r="U40" s="10"/>
      <c r="V40" s="10"/>
      <c r="W40" s="10"/>
      <c r="X40" s="10"/>
      <c r="Y40" s="10"/>
      <c r="Z40" s="10"/>
      <c r="AA40" s="10"/>
      <c r="AB40" s="10"/>
      <c r="AC40" s="10"/>
      <c r="AD40" s="10"/>
      <c r="AE40" s="10"/>
      <c r="AF40" s="10"/>
      <c r="AG40" s="10"/>
      <c r="AH40" s="10"/>
      <c r="AI40" s="10"/>
    </row>
    <row r="41" spans="2:35" x14ac:dyDescent="0.55000000000000004">
      <c r="B41" s="147" t="s">
        <v>55</v>
      </c>
      <c r="C41" s="155"/>
      <c r="D41" s="136"/>
      <c r="E41" s="136"/>
      <c r="F41" s="156"/>
      <c r="G41" s="157" t="s">
        <v>395</v>
      </c>
      <c r="H41" s="157" t="s">
        <v>68</v>
      </c>
      <c r="I41" s="156"/>
      <c r="J41" s="158"/>
      <c r="K41" s="157" t="s">
        <v>395</v>
      </c>
      <c r="L41" s="157" t="s">
        <v>68</v>
      </c>
      <c r="M41" s="137"/>
      <c r="N41" s="137"/>
      <c r="O41" s="137"/>
      <c r="P41" s="137"/>
      <c r="Q41" s="137"/>
      <c r="R41" s="148"/>
    </row>
    <row r="42" spans="2:35" x14ac:dyDescent="0.55000000000000004">
      <c r="B42" s="135"/>
      <c r="C42" s="140" t="s">
        <v>130</v>
      </c>
      <c r="D42" s="136"/>
      <c r="E42" s="137"/>
      <c r="F42" s="137"/>
      <c r="G42" s="64"/>
      <c r="H42" s="140" t="s">
        <v>56</v>
      </c>
      <c r="I42" s="159"/>
      <c r="J42" s="158"/>
      <c r="K42" s="64"/>
      <c r="L42" s="140" t="s">
        <v>56</v>
      </c>
      <c r="M42" s="137"/>
      <c r="N42" s="137"/>
      <c r="O42" s="137"/>
      <c r="P42" s="137"/>
      <c r="Q42" s="137"/>
      <c r="R42" s="148"/>
    </row>
    <row r="43" spans="2:35" x14ac:dyDescent="0.55000000000000004">
      <c r="B43" s="135"/>
      <c r="C43" s="140" t="s">
        <v>131</v>
      </c>
      <c r="D43" s="136"/>
      <c r="E43" s="137"/>
      <c r="F43" s="137"/>
      <c r="G43" s="64"/>
      <c r="H43" s="140" t="s">
        <v>56</v>
      </c>
      <c r="I43" s="159"/>
      <c r="J43" s="158"/>
      <c r="K43" s="64"/>
      <c r="L43" s="140" t="s">
        <v>56</v>
      </c>
      <c r="M43" s="137"/>
      <c r="N43" s="137"/>
      <c r="O43" s="137"/>
      <c r="P43" s="137"/>
      <c r="Q43" s="137"/>
      <c r="R43" s="148"/>
    </row>
    <row r="44" spans="2:35" x14ac:dyDescent="0.55000000000000004">
      <c r="B44" s="135"/>
      <c r="C44" s="140" t="s">
        <v>132</v>
      </c>
      <c r="D44" s="136"/>
      <c r="E44" s="137"/>
      <c r="F44" s="137"/>
      <c r="G44" s="64"/>
      <c r="H44" s="140" t="s">
        <v>56</v>
      </c>
      <c r="I44" s="159"/>
      <c r="J44" s="158"/>
      <c r="K44" s="64"/>
      <c r="L44" s="140" t="s">
        <v>56</v>
      </c>
      <c r="M44" s="137"/>
      <c r="N44" s="137"/>
      <c r="O44" s="137"/>
      <c r="P44" s="137"/>
      <c r="Q44" s="137"/>
      <c r="R44" s="148"/>
    </row>
    <row r="45" spans="2:35" x14ac:dyDescent="0.55000000000000004">
      <c r="B45" s="135"/>
      <c r="C45" s="140" t="s">
        <v>133</v>
      </c>
      <c r="D45" s="136"/>
      <c r="E45" s="137"/>
      <c r="F45" s="137"/>
      <c r="G45" s="64"/>
      <c r="H45" s="140" t="s">
        <v>56</v>
      </c>
      <c r="I45" s="159"/>
      <c r="J45" s="158"/>
      <c r="K45" s="64"/>
      <c r="L45" s="153" t="s">
        <v>56</v>
      </c>
      <c r="M45" s="137"/>
      <c r="N45" s="137"/>
      <c r="O45" s="137"/>
      <c r="P45" s="137"/>
      <c r="Q45" s="137"/>
      <c r="R45" s="148"/>
    </row>
    <row r="46" spans="2:35" s="51" customFormat="1" x14ac:dyDescent="0.55000000000000004">
      <c r="B46" s="135"/>
      <c r="C46" s="160"/>
      <c r="D46" s="136"/>
      <c r="E46" s="137"/>
      <c r="F46" s="137"/>
      <c r="G46" s="136"/>
      <c r="H46" s="146"/>
      <c r="I46" s="159"/>
      <c r="J46" s="159"/>
      <c r="K46" s="136"/>
      <c r="L46" s="161"/>
      <c r="M46" s="137"/>
      <c r="N46" s="137"/>
      <c r="O46" s="137"/>
      <c r="P46" s="137"/>
      <c r="Q46" s="137"/>
      <c r="R46" s="148"/>
    </row>
    <row r="47" spans="2:35" x14ac:dyDescent="0.55000000000000004">
      <c r="B47" s="147" t="s">
        <v>435</v>
      </c>
      <c r="C47" s="162"/>
      <c r="D47" s="139"/>
      <c r="E47" s="139"/>
      <c r="F47" s="139"/>
      <c r="G47" s="73"/>
      <c r="H47" s="163" t="s">
        <v>436</v>
      </c>
      <c r="I47" s="155"/>
      <c r="J47" s="164"/>
      <c r="K47" s="74"/>
      <c r="L47" s="163" t="s">
        <v>436</v>
      </c>
      <c r="M47" s="137"/>
      <c r="N47" s="137"/>
      <c r="O47" s="137"/>
      <c r="P47" s="137"/>
      <c r="Q47" s="137"/>
      <c r="R47" s="148"/>
    </row>
    <row r="48" spans="2:35" s="51" customFormat="1" x14ac:dyDescent="0.55000000000000004">
      <c r="B48" s="138"/>
      <c r="C48" s="136"/>
      <c r="D48" s="137"/>
      <c r="E48" s="136"/>
      <c r="F48" s="136"/>
      <c r="G48" s="136"/>
      <c r="H48" s="137"/>
      <c r="I48" s="165"/>
      <c r="J48" s="159"/>
      <c r="K48" s="136"/>
      <c r="L48" s="137"/>
      <c r="M48" s="137"/>
      <c r="N48" s="137"/>
      <c r="O48" s="137"/>
      <c r="P48" s="137"/>
      <c r="Q48" s="137"/>
      <c r="R48" s="148"/>
    </row>
    <row r="49" spans="2:18" x14ac:dyDescent="0.55000000000000004">
      <c r="B49" s="147" t="s">
        <v>347</v>
      </c>
      <c r="C49" s="64" t="s">
        <v>381</v>
      </c>
      <c r="D49" s="137"/>
      <c r="E49" s="137"/>
      <c r="F49" s="137"/>
      <c r="G49" s="137"/>
      <c r="H49" s="137"/>
      <c r="I49" s="137"/>
      <c r="J49" s="137"/>
      <c r="K49" s="137"/>
      <c r="L49" s="137"/>
      <c r="M49" s="137"/>
      <c r="N49" s="137"/>
      <c r="O49" s="137"/>
      <c r="P49" s="137"/>
      <c r="Q49" s="137"/>
      <c r="R49" s="148"/>
    </row>
    <row r="50" spans="2:18" x14ac:dyDescent="0.55000000000000004">
      <c r="B50" s="135"/>
      <c r="C50" s="136"/>
      <c r="D50" s="166"/>
      <c r="E50" s="166"/>
      <c r="F50" s="166"/>
      <c r="G50" s="137"/>
      <c r="H50" s="137"/>
      <c r="I50" s="137"/>
      <c r="J50" s="137"/>
      <c r="K50" s="137"/>
      <c r="L50" s="137"/>
      <c r="M50" s="137"/>
      <c r="N50" s="137"/>
      <c r="O50" s="137"/>
      <c r="P50" s="137"/>
      <c r="Q50" s="137"/>
      <c r="R50" s="148"/>
    </row>
    <row r="51" spans="2:18" s="51" customFormat="1" x14ac:dyDescent="0.55000000000000004">
      <c r="B51" s="212" t="s">
        <v>394</v>
      </c>
      <c r="C51" s="213"/>
      <c r="D51" s="213"/>
      <c r="E51" s="214"/>
      <c r="F51" s="166"/>
      <c r="G51" s="137"/>
      <c r="H51" s="137"/>
      <c r="I51" s="137"/>
      <c r="J51" s="137"/>
      <c r="K51" s="137"/>
      <c r="L51" s="137"/>
      <c r="M51" s="137"/>
      <c r="N51" s="137"/>
      <c r="O51" s="137"/>
      <c r="P51" s="137"/>
      <c r="Q51" s="137"/>
      <c r="R51" s="148"/>
    </row>
    <row r="52" spans="2:18" s="51" customFormat="1" x14ac:dyDescent="0.55000000000000004">
      <c r="B52" s="167"/>
      <c r="C52" s="140"/>
      <c r="D52" s="168" t="s">
        <v>226</v>
      </c>
      <c r="E52" s="142" t="s">
        <v>68</v>
      </c>
      <c r="F52" s="166"/>
      <c r="G52" s="137"/>
      <c r="H52" s="137"/>
      <c r="I52" s="137"/>
      <c r="J52" s="137"/>
      <c r="K52" s="137"/>
      <c r="L52" s="137"/>
      <c r="M52" s="137"/>
      <c r="N52" s="137"/>
      <c r="O52" s="137"/>
      <c r="P52" s="137"/>
      <c r="Q52" s="137"/>
      <c r="R52" s="148"/>
    </row>
    <row r="53" spans="2:18" s="51" customFormat="1" x14ac:dyDescent="0.55000000000000004">
      <c r="B53" s="167"/>
      <c r="C53" s="168" t="s">
        <v>373</v>
      </c>
      <c r="D53" s="69">
        <v>50</v>
      </c>
      <c r="E53" s="169" t="s">
        <v>227</v>
      </c>
      <c r="F53" s="166"/>
      <c r="G53" s="137"/>
      <c r="H53" s="137"/>
      <c r="I53" s="137"/>
      <c r="J53" s="137"/>
      <c r="K53" s="137"/>
      <c r="L53" s="137"/>
      <c r="M53" s="137"/>
      <c r="N53" s="137"/>
      <c r="O53" s="137"/>
      <c r="P53" s="137"/>
      <c r="Q53" s="137"/>
      <c r="R53" s="148"/>
    </row>
    <row r="54" spans="2:18" s="51" customFormat="1" x14ac:dyDescent="0.55000000000000004">
      <c r="B54" s="167"/>
      <c r="C54" s="163" t="s">
        <v>217</v>
      </c>
      <c r="D54" s="69">
        <v>60</v>
      </c>
      <c r="E54" s="141" t="s">
        <v>227</v>
      </c>
      <c r="F54" s="166"/>
      <c r="G54" s="137"/>
      <c r="H54" s="137"/>
      <c r="I54" s="137"/>
      <c r="J54" s="137"/>
      <c r="K54" s="137"/>
      <c r="L54" s="137"/>
      <c r="M54" s="137"/>
      <c r="N54" s="137"/>
      <c r="O54" s="137"/>
      <c r="P54" s="137"/>
      <c r="Q54" s="137"/>
      <c r="R54" s="148"/>
    </row>
    <row r="55" spans="2:18" s="51" customFormat="1" x14ac:dyDescent="0.55000000000000004">
      <c r="B55" s="167"/>
      <c r="C55" s="163" t="s">
        <v>374</v>
      </c>
      <c r="D55" s="69">
        <v>80</v>
      </c>
      <c r="E55" s="141" t="s">
        <v>227</v>
      </c>
      <c r="F55" s="166"/>
      <c r="G55" s="137"/>
      <c r="H55" s="137"/>
      <c r="I55" s="137"/>
      <c r="J55" s="137"/>
      <c r="K55" s="137"/>
      <c r="L55" s="137"/>
      <c r="M55" s="137"/>
      <c r="N55" s="137"/>
      <c r="O55" s="137"/>
      <c r="P55" s="137"/>
      <c r="Q55" s="137"/>
      <c r="R55" s="148"/>
    </row>
    <row r="56" spans="2:18" s="51" customFormat="1" x14ac:dyDescent="0.55000000000000004">
      <c r="B56" s="145"/>
      <c r="C56" s="163" t="s">
        <v>414</v>
      </c>
      <c r="D56" s="72">
        <v>29</v>
      </c>
      <c r="E56" s="141" t="s">
        <v>227</v>
      </c>
      <c r="F56" s="166"/>
      <c r="G56" s="137"/>
      <c r="H56" s="137"/>
      <c r="I56" s="137"/>
      <c r="J56" s="137"/>
      <c r="K56" s="137"/>
      <c r="L56" s="137"/>
      <c r="M56" s="137"/>
      <c r="N56" s="137"/>
      <c r="O56" s="137"/>
      <c r="P56" s="137"/>
      <c r="Q56" s="137"/>
      <c r="R56" s="148"/>
    </row>
    <row r="57" spans="2:18" s="51" customFormat="1" x14ac:dyDescent="0.55000000000000004">
      <c r="B57" s="122"/>
      <c r="C57" s="131"/>
      <c r="D57" s="131"/>
      <c r="E57" s="131"/>
      <c r="F57" s="131"/>
      <c r="G57" s="124"/>
      <c r="H57" s="124"/>
      <c r="I57" s="124"/>
      <c r="J57" s="124"/>
      <c r="K57" s="124"/>
      <c r="L57" s="124"/>
      <c r="M57" s="124"/>
      <c r="N57" s="124"/>
      <c r="O57" s="124"/>
      <c r="P57" s="124"/>
      <c r="Q57" s="124"/>
      <c r="R57" s="125"/>
    </row>
    <row r="58" spans="2:18" ht="14.7" thickBot="1" x14ac:dyDescent="0.6">
      <c r="B58" s="132"/>
      <c r="C58" s="133"/>
      <c r="D58" s="133"/>
      <c r="E58" s="133"/>
      <c r="F58" s="133"/>
      <c r="G58" s="133"/>
      <c r="H58" s="133"/>
      <c r="I58" s="133"/>
      <c r="J58" s="133"/>
      <c r="K58" s="133"/>
      <c r="L58" s="133"/>
      <c r="M58" s="133"/>
      <c r="N58" s="133"/>
      <c r="O58" s="133"/>
      <c r="P58" s="133"/>
      <c r="Q58" s="133"/>
      <c r="R58" s="134"/>
    </row>
    <row r="59" spans="2:18" ht="14.7" thickBot="1" x14ac:dyDescent="0.6"/>
    <row r="60" spans="2:18" x14ac:dyDescent="0.55000000000000004">
      <c r="B60" s="207" t="s">
        <v>351</v>
      </c>
      <c r="C60" s="208"/>
      <c r="D60" s="55"/>
      <c r="E60" s="55"/>
      <c r="F60" s="55"/>
    </row>
    <row r="61" spans="2:18" x14ac:dyDescent="0.55000000000000004">
      <c r="B61" s="21" t="s">
        <v>350</v>
      </c>
      <c r="C61" s="75">
        <v>1.2</v>
      </c>
      <c r="D61" s="56"/>
      <c r="E61" s="56"/>
      <c r="F61" s="56"/>
    </row>
    <row r="62" spans="2:18" ht="14.7" thickBot="1" x14ac:dyDescent="0.6">
      <c r="B62" s="22" t="s">
        <v>352</v>
      </c>
      <c r="C62" s="76">
        <v>10.01</v>
      </c>
      <c r="D62" s="56"/>
      <c r="E62" s="56"/>
      <c r="F62" s="56"/>
    </row>
  </sheetData>
  <sheetProtection algorithmName="SHA-512" hashValue="oGepLLiOV3k87SjS7C4u0e50klLSQvyNiKUohww18wO7awwD/JCdhXLeXroM2JpWYtM2X3KxgWDpvR7ahmpvqA==" saltValue="MI6Rs0DSFGdJ9OdNY41VUA==" spinCount="100000" sheet="1" objects="1" scenarios="1" selectLockedCells="1"/>
  <mergeCells count="26">
    <mergeCell ref="Q30:Q31"/>
    <mergeCell ref="K30:K31"/>
    <mergeCell ref="L30:L31"/>
    <mergeCell ref="M30:M31"/>
    <mergeCell ref="O30:O31"/>
    <mergeCell ref="P30:P31"/>
    <mergeCell ref="B60:C60"/>
    <mergeCell ref="C33:M33"/>
    <mergeCell ref="B51:E51"/>
    <mergeCell ref="C37:C38"/>
    <mergeCell ref="D37:D38"/>
    <mergeCell ref="E37:E38"/>
    <mergeCell ref="F34:F40"/>
    <mergeCell ref="E4:F4"/>
    <mergeCell ref="B2:Q2"/>
    <mergeCell ref="K3:M3"/>
    <mergeCell ref="O3:Q3"/>
    <mergeCell ref="K4:M4"/>
    <mergeCell ref="O4:Q4"/>
    <mergeCell ref="G4:I4"/>
    <mergeCell ref="G3:I3"/>
    <mergeCell ref="F5:F31"/>
    <mergeCell ref="C30:E31"/>
    <mergeCell ref="G30:G31"/>
    <mergeCell ref="H30:H31"/>
    <mergeCell ref="I30:I31"/>
  </mergeCells>
  <phoneticPr fontId="5" type="noConversion"/>
  <dataValidations count="2">
    <dataValidation type="list" allowBlank="1" showInputMessage="1" showErrorMessage="1" sqref="C49" xr:uid="{FDFA019F-2BE0-435E-84A0-AABADDCC5315}">
      <formula1>"Select, Eur, USD, NOK"</formula1>
    </dataValidation>
    <dataValidation type="list" allowBlank="1" showInputMessage="1" showErrorMessage="1" sqref="G3" xr:uid="{743845E7-5F42-4E31-90F7-08439FC4D656}">
      <formula1>"Select, FP, HTL"</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257AF-E46E-425F-B8B6-F30325B585AC}">
  <dimension ref="A2:BP118"/>
  <sheetViews>
    <sheetView showGridLines="0" topLeftCell="A25" zoomScale="55" zoomScaleNormal="55" workbookViewId="0">
      <selection activeCell="AH60" sqref="AH60"/>
    </sheetView>
  </sheetViews>
  <sheetFormatPr defaultRowHeight="14.4" x14ac:dyDescent="0.55000000000000004"/>
  <cols>
    <col min="3" max="3" width="20.20703125" customWidth="1"/>
    <col min="6" max="6" width="21.3671875" customWidth="1"/>
    <col min="9" max="9" width="21.47265625" customWidth="1"/>
    <col min="12" max="12" width="8" customWidth="1"/>
    <col min="13" max="14" width="9.7890625" style="40" customWidth="1"/>
    <col min="15" max="15" width="26" style="40" customWidth="1"/>
    <col min="16" max="17" width="9.7890625" style="40" customWidth="1"/>
    <col min="18" max="18" width="22.734375" style="40" customWidth="1"/>
    <col min="19" max="19" width="9.7890625" style="40" customWidth="1"/>
    <col min="20" max="20" width="8.89453125" style="40"/>
    <col min="21" max="21" width="20.578125" style="40" customWidth="1"/>
    <col min="22" max="28" width="8.89453125" style="40"/>
    <col min="29" max="29" width="23.89453125" customWidth="1"/>
    <col min="32" max="32" width="24.9453125" customWidth="1"/>
    <col min="35" max="35" width="23.68359375" customWidth="1"/>
    <col min="36" max="36" width="15.47265625" style="120" customWidth="1"/>
    <col min="39" max="39" width="25.26171875" customWidth="1"/>
    <col min="40" max="40" width="8.734375" customWidth="1"/>
    <col min="42" max="42" width="24.68359375" style="40" customWidth="1"/>
    <col min="43" max="44" width="8.89453125" style="40"/>
    <col min="45" max="45" width="23.62890625" style="40" customWidth="1"/>
    <col min="46" max="46" width="8.89453125" style="40"/>
    <col min="47" max="47" width="13.20703125" style="40" customWidth="1"/>
    <col min="48" max="48" width="8.89453125" style="40"/>
  </cols>
  <sheetData>
    <row r="2" spans="2:47" hidden="1" x14ac:dyDescent="0.55000000000000004"/>
    <row r="3" spans="2:47" ht="15.6" x14ac:dyDescent="0.6">
      <c r="B3" s="27"/>
      <c r="C3" s="27"/>
      <c r="D3" s="27"/>
      <c r="E3" s="27"/>
      <c r="F3" s="27"/>
      <c r="G3" s="27"/>
      <c r="H3" s="27"/>
      <c r="I3" s="43" t="s">
        <v>287</v>
      </c>
      <c r="J3" s="43"/>
      <c r="K3" s="43"/>
      <c r="L3" s="43"/>
      <c r="N3" s="222" t="s">
        <v>463</v>
      </c>
      <c r="O3" s="222"/>
      <c r="P3" s="222"/>
      <c r="Q3" s="222"/>
      <c r="R3" s="222"/>
      <c r="S3" s="222"/>
      <c r="T3" s="222"/>
      <c r="U3" s="222"/>
      <c r="V3" s="222"/>
      <c r="W3" s="222"/>
      <c r="X3" s="222"/>
      <c r="Y3" s="222"/>
      <c r="Z3" s="25"/>
      <c r="AB3" s="16"/>
      <c r="AC3" s="16"/>
      <c r="AD3" s="226" t="s">
        <v>562</v>
      </c>
      <c r="AE3" s="16"/>
      <c r="AF3" s="16"/>
      <c r="AG3" s="16"/>
      <c r="AH3" s="16"/>
      <c r="AI3" s="16"/>
      <c r="AJ3" s="16"/>
      <c r="AK3" s="173"/>
      <c r="AL3" s="27"/>
      <c r="AM3" s="27"/>
      <c r="AN3" s="27"/>
      <c r="AO3" s="27"/>
      <c r="AP3" s="227" t="s">
        <v>563</v>
      </c>
      <c r="AQ3" s="27"/>
      <c r="AR3" s="27"/>
      <c r="AS3" s="27"/>
      <c r="AT3" s="27"/>
      <c r="AU3" s="27"/>
    </row>
    <row r="4" spans="2:47" x14ac:dyDescent="0.55000000000000004">
      <c r="B4" s="2"/>
      <c r="C4" s="2"/>
      <c r="D4" s="2"/>
      <c r="E4" s="2"/>
      <c r="F4" s="2"/>
      <c r="G4" s="2"/>
      <c r="H4" s="2"/>
      <c r="I4" s="2"/>
      <c r="J4" s="2"/>
      <c r="K4" s="2"/>
      <c r="L4" s="2"/>
      <c r="AC4" s="2"/>
      <c r="AD4" s="2"/>
      <c r="AE4" s="2"/>
      <c r="AF4" s="2"/>
      <c r="AG4" s="2"/>
      <c r="AH4" s="2"/>
      <c r="AI4" s="2"/>
      <c r="AJ4" s="42"/>
      <c r="AK4" s="2"/>
      <c r="AL4" s="2"/>
      <c r="AM4" s="2"/>
      <c r="AN4" s="2"/>
      <c r="AO4" s="2"/>
    </row>
    <row r="5" spans="2:47" x14ac:dyDescent="0.55000000000000004">
      <c r="B5" s="2"/>
      <c r="C5" s="2"/>
      <c r="D5" s="2"/>
      <c r="E5" s="2"/>
      <c r="F5" s="2"/>
      <c r="G5" s="2"/>
      <c r="H5" s="2"/>
      <c r="I5" s="2"/>
      <c r="J5" s="2"/>
    </row>
    <row r="6" spans="2:47" x14ac:dyDescent="0.55000000000000004">
      <c r="B6" s="2"/>
      <c r="C6" s="2"/>
      <c r="D6" s="2"/>
      <c r="E6" s="2"/>
      <c r="F6" s="2"/>
      <c r="G6" s="2"/>
      <c r="H6" s="2"/>
      <c r="I6" s="2"/>
      <c r="J6" s="2"/>
      <c r="AB6" s="42"/>
      <c r="AC6" s="42"/>
      <c r="AD6" s="42"/>
      <c r="AE6" s="42"/>
      <c r="AF6" s="42"/>
      <c r="AG6" s="42"/>
      <c r="AH6" s="42"/>
      <c r="AI6" s="42"/>
      <c r="AJ6" s="42"/>
      <c r="AK6" s="42"/>
      <c r="AL6" s="42"/>
      <c r="AM6" s="42"/>
      <c r="AN6" s="42"/>
      <c r="AO6" s="42"/>
      <c r="AP6" s="42"/>
      <c r="AQ6" s="42"/>
      <c r="AR6" s="42"/>
      <c r="AS6" s="42"/>
    </row>
    <row r="7" spans="2:47" x14ac:dyDescent="0.55000000000000004">
      <c r="B7" s="2"/>
      <c r="C7" s="2"/>
      <c r="D7" s="2"/>
      <c r="E7" s="2"/>
      <c r="F7" s="2"/>
      <c r="G7" s="2"/>
      <c r="H7" s="2"/>
      <c r="I7" s="2"/>
      <c r="J7" s="2"/>
      <c r="AB7" s="42"/>
      <c r="AC7" s="42"/>
      <c r="AD7" s="42"/>
      <c r="AE7" s="42"/>
      <c r="AF7" s="42"/>
      <c r="AG7" s="42"/>
      <c r="AH7" s="42"/>
      <c r="AI7" s="42"/>
      <c r="AJ7" s="42"/>
      <c r="AK7" s="42"/>
      <c r="AL7" s="42"/>
      <c r="AM7" s="42"/>
      <c r="AN7" s="42"/>
      <c r="AO7" s="42"/>
      <c r="AP7" s="42"/>
      <c r="AS7" s="42"/>
    </row>
    <row r="8" spans="2:47" x14ac:dyDescent="0.55000000000000004">
      <c r="B8" s="2"/>
      <c r="C8" s="2"/>
      <c r="D8" s="2"/>
      <c r="E8" s="2"/>
      <c r="F8" s="2"/>
      <c r="G8" s="2"/>
      <c r="H8" s="2"/>
      <c r="I8" s="2"/>
      <c r="J8" s="2"/>
      <c r="AB8" s="42"/>
      <c r="AC8" s="42"/>
      <c r="AD8" s="42"/>
      <c r="AE8" s="42"/>
      <c r="AF8" s="42"/>
      <c r="AG8" s="42"/>
      <c r="AH8" s="42"/>
      <c r="AI8" s="42"/>
      <c r="AJ8" s="42"/>
      <c r="AK8" s="42"/>
      <c r="AL8" s="42"/>
      <c r="AM8" s="42"/>
      <c r="AN8" s="42"/>
      <c r="AO8" s="42"/>
      <c r="AP8" s="42"/>
      <c r="AS8" s="42"/>
    </row>
    <row r="9" spans="2:47" x14ac:dyDescent="0.55000000000000004">
      <c r="B9" s="2"/>
      <c r="C9" s="2"/>
      <c r="D9" s="2"/>
      <c r="E9" s="2"/>
      <c r="F9" s="2"/>
      <c r="G9" s="2"/>
      <c r="H9" s="2"/>
      <c r="I9" s="2"/>
      <c r="J9" s="2"/>
      <c r="AB9" s="42"/>
      <c r="AC9" s="42"/>
      <c r="AD9" s="42"/>
      <c r="AE9" s="42"/>
      <c r="AF9" s="42"/>
      <c r="AG9" s="42"/>
      <c r="AH9" s="42"/>
      <c r="AI9" s="42"/>
      <c r="AJ9" s="42"/>
      <c r="AK9" s="42"/>
      <c r="AL9" s="42"/>
      <c r="AM9" s="42"/>
      <c r="AN9" s="42"/>
      <c r="AO9" s="42"/>
      <c r="AP9" s="42"/>
      <c r="AS9" s="42"/>
    </row>
    <row r="10" spans="2:47" x14ac:dyDescent="0.55000000000000004">
      <c r="B10" s="2"/>
      <c r="C10" s="2"/>
      <c r="D10" s="2"/>
      <c r="E10" s="2"/>
      <c r="F10" s="2"/>
      <c r="G10" s="2"/>
      <c r="H10" s="2"/>
      <c r="I10" s="2"/>
      <c r="J10" s="2"/>
      <c r="AB10" s="42"/>
      <c r="AC10" s="42"/>
      <c r="AD10" s="42"/>
      <c r="AE10" s="42"/>
      <c r="AF10" s="42"/>
      <c r="AG10" s="42"/>
      <c r="AH10" s="42"/>
      <c r="AI10" s="42"/>
      <c r="AJ10" s="42"/>
      <c r="AK10" s="42"/>
      <c r="AL10" s="42"/>
      <c r="AM10" s="42"/>
      <c r="AN10" s="42"/>
      <c r="AO10" s="42"/>
      <c r="AP10" s="42"/>
      <c r="AS10" s="42"/>
    </row>
    <row r="11" spans="2:47" x14ac:dyDescent="0.55000000000000004">
      <c r="B11" s="2"/>
      <c r="C11" s="2"/>
      <c r="D11" s="2"/>
      <c r="E11" s="2"/>
      <c r="F11" s="2"/>
      <c r="G11" s="2"/>
      <c r="H11" s="2"/>
      <c r="I11" s="2"/>
      <c r="J11" s="2"/>
      <c r="AB11" s="42"/>
      <c r="AC11" s="42"/>
      <c r="AD11" s="42"/>
      <c r="AE11" s="42"/>
      <c r="AF11" s="42"/>
      <c r="AG11" s="42"/>
      <c r="AH11" s="42"/>
      <c r="AI11" s="42"/>
      <c r="AJ11" s="42"/>
      <c r="AK11" s="42"/>
      <c r="AL11" s="42"/>
      <c r="AM11" s="42"/>
      <c r="AN11" s="42"/>
      <c r="AO11" s="42"/>
      <c r="AP11" s="42"/>
      <c r="AS11" s="42"/>
    </row>
    <row r="12" spans="2:47" x14ac:dyDescent="0.55000000000000004">
      <c r="B12" s="2"/>
      <c r="C12" s="2"/>
      <c r="D12" s="2"/>
      <c r="E12" s="2"/>
      <c r="F12" s="2"/>
      <c r="G12" s="2"/>
      <c r="H12" s="2"/>
      <c r="I12" s="2"/>
      <c r="J12" s="2"/>
      <c r="AB12" s="42"/>
      <c r="AC12" s="42"/>
      <c r="AD12" s="42"/>
      <c r="AE12" s="42"/>
      <c r="AF12" s="42"/>
      <c r="AG12" s="42"/>
      <c r="AH12" s="42"/>
      <c r="AI12" s="42"/>
      <c r="AJ12" s="42"/>
      <c r="AK12" s="42"/>
      <c r="AL12" s="42"/>
      <c r="AM12" s="42"/>
      <c r="AN12" s="42"/>
      <c r="AO12" s="42"/>
      <c r="AP12" s="42"/>
      <c r="AS12" s="42"/>
    </row>
    <row r="13" spans="2:47" x14ac:dyDescent="0.55000000000000004">
      <c r="B13" s="2"/>
      <c r="C13" s="2"/>
      <c r="D13" s="2"/>
      <c r="E13" s="2"/>
      <c r="F13" s="2"/>
      <c r="G13" s="2"/>
      <c r="H13" s="2"/>
      <c r="I13" s="2"/>
      <c r="J13" s="2"/>
      <c r="AB13" s="42"/>
      <c r="AC13" s="42"/>
      <c r="AD13" s="42"/>
      <c r="AE13" s="42"/>
      <c r="AF13" s="42"/>
      <c r="AG13" s="42"/>
      <c r="AH13" s="42"/>
      <c r="AI13" s="42"/>
      <c r="AJ13" s="42"/>
      <c r="AK13" s="42"/>
      <c r="AL13" s="42"/>
      <c r="AM13" s="42"/>
      <c r="AN13" s="42"/>
      <c r="AO13" s="42"/>
      <c r="AP13" s="42"/>
      <c r="AS13" s="42"/>
    </row>
    <row r="14" spans="2:47" x14ac:dyDescent="0.55000000000000004">
      <c r="B14" s="2"/>
      <c r="C14" s="2"/>
      <c r="D14" s="2"/>
      <c r="E14" s="2"/>
      <c r="F14" s="2"/>
      <c r="G14" s="2"/>
      <c r="H14" s="2"/>
      <c r="I14" s="2"/>
      <c r="J14" s="2"/>
      <c r="AB14" s="42"/>
      <c r="AC14" s="42"/>
      <c r="AD14" s="42"/>
      <c r="AE14" s="42"/>
      <c r="AF14" s="42"/>
      <c r="AG14" s="42"/>
      <c r="AH14" s="42"/>
      <c r="AI14" s="42"/>
      <c r="AJ14" s="42"/>
      <c r="AK14" s="42"/>
      <c r="AL14" s="42"/>
      <c r="AM14" s="42"/>
      <c r="AN14" s="42"/>
      <c r="AO14" s="42"/>
      <c r="AP14" s="42"/>
      <c r="AS14" s="42"/>
    </row>
    <row r="15" spans="2:47" x14ac:dyDescent="0.55000000000000004">
      <c r="B15" s="2"/>
      <c r="C15" s="2"/>
      <c r="D15" s="2"/>
      <c r="E15" s="2"/>
      <c r="F15" s="2"/>
      <c r="G15" s="2"/>
      <c r="H15" s="2"/>
      <c r="I15" s="2"/>
      <c r="J15" s="2"/>
      <c r="AB15" s="42"/>
      <c r="AC15" s="42"/>
      <c r="AD15" s="42"/>
      <c r="AE15" s="42"/>
      <c r="AF15" s="42"/>
      <c r="AG15" s="42"/>
      <c r="AH15" s="42"/>
      <c r="AI15" s="42"/>
      <c r="AJ15" s="42"/>
      <c r="AK15" s="42"/>
      <c r="AL15" s="42"/>
      <c r="AM15" s="42"/>
      <c r="AN15" s="42"/>
      <c r="AO15" s="42"/>
      <c r="AP15" s="42"/>
      <c r="AS15" s="42"/>
    </row>
    <row r="16" spans="2:47" x14ac:dyDescent="0.55000000000000004">
      <c r="B16" s="2"/>
      <c r="C16" s="2"/>
      <c r="D16" s="2"/>
      <c r="E16" s="2"/>
      <c r="F16" s="2"/>
      <c r="G16" s="2"/>
      <c r="H16" s="2"/>
      <c r="I16" s="2"/>
      <c r="J16" s="2"/>
      <c r="AB16" s="42"/>
      <c r="AC16" s="42"/>
      <c r="AD16" s="42"/>
      <c r="AE16" s="42"/>
      <c r="AF16" s="42"/>
      <c r="AG16" s="42"/>
      <c r="AH16" s="42"/>
      <c r="AI16" s="42"/>
      <c r="AJ16" s="42"/>
      <c r="AK16" s="42"/>
      <c r="AL16" s="42"/>
      <c r="AM16" s="42"/>
      <c r="AN16" s="42"/>
      <c r="AO16" s="42"/>
      <c r="AP16" s="42"/>
      <c r="AS16" s="42"/>
    </row>
    <row r="17" spans="2:68" x14ac:dyDescent="0.55000000000000004">
      <c r="B17" s="2"/>
      <c r="C17" s="2"/>
      <c r="D17" s="2"/>
      <c r="E17" s="2"/>
      <c r="F17" s="2"/>
      <c r="G17" s="2"/>
      <c r="H17" s="2"/>
      <c r="I17" s="2"/>
      <c r="J17" s="2"/>
      <c r="AB17" s="42"/>
      <c r="AC17" s="42"/>
      <c r="AD17" s="42"/>
      <c r="AE17" s="42"/>
      <c r="AF17" s="42"/>
      <c r="AG17" s="42"/>
      <c r="AH17" s="42"/>
      <c r="AI17" s="42"/>
      <c r="AJ17" s="42"/>
      <c r="AK17" s="42"/>
      <c r="AL17" s="42"/>
      <c r="AM17" s="42"/>
      <c r="AN17" s="42"/>
      <c r="AO17" s="42"/>
      <c r="AP17" s="42"/>
      <c r="AS17" s="42"/>
    </row>
    <row r="18" spans="2:68" x14ac:dyDescent="0.55000000000000004">
      <c r="B18" s="2"/>
      <c r="C18" s="2"/>
      <c r="D18" s="2"/>
      <c r="E18" s="2"/>
      <c r="F18" s="2"/>
      <c r="G18" s="2"/>
      <c r="H18" s="2"/>
      <c r="I18" s="2"/>
      <c r="J18" s="2"/>
      <c r="AB18" s="42"/>
      <c r="AC18" s="42"/>
      <c r="AD18" s="42"/>
      <c r="AE18" s="42"/>
      <c r="AF18" s="42"/>
      <c r="AG18" s="42"/>
      <c r="AH18" s="42"/>
      <c r="AI18" s="42"/>
      <c r="AJ18" s="42"/>
      <c r="AK18" s="42"/>
      <c r="AL18" s="42"/>
      <c r="AM18" s="42"/>
      <c r="AN18" s="42"/>
      <c r="AO18" s="42"/>
      <c r="AP18" s="42"/>
      <c r="AS18" s="42"/>
    </row>
    <row r="19" spans="2:68" x14ac:dyDescent="0.55000000000000004">
      <c r="B19" s="2"/>
      <c r="C19" s="2"/>
      <c r="D19" s="2"/>
      <c r="E19" s="2"/>
      <c r="F19" s="2"/>
      <c r="G19" s="2"/>
      <c r="H19" s="2"/>
      <c r="I19" s="2"/>
      <c r="J19" s="2"/>
      <c r="AB19" s="42"/>
      <c r="AC19" s="42"/>
      <c r="AD19" s="42"/>
      <c r="AE19" s="42"/>
      <c r="AF19" s="42"/>
      <c r="AG19" s="42"/>
      <c r="AH19" s="42"/>
      <c r="AI19" s="42"/>
      <c r="AJ19" s="42"/>
      <c r="AK19" s="42"/>
      <c r="AL19" s="42"/>
      <c r="AM19" s="42"/>
      <c r="AN19" s="42"/>
      <c r="AO19" s="42"/>
      <c r="AP19" s="42"/>
      <c r="AS19" s="42"/>
    </row>
    <row r="20" spans="2:68" x14ac:dyDescent="0.55000000000000004">
      <c r="B20" s="2"/>
      <c r="C20" s="2"/>
      <c r="D20" s="2"/>
      <c r="E20" s="2"/>
      <c r="F20" s="2"/>
      <c r="G20" s="2"/>
      <c r="H20" s="2"/>
      <c r="I20" s="2"/>
      <c r="J20" s="2"/>
      <c r="AB20" s="42"/>
      <c r="AC20" s="42"/>
      <c r="AD20" s="42"/>
      <c r="AE20" s="42"/>
      <c r="AF20" s="42"/>
      <c r="AG20" s="42"/>
      <c r="AH20" s="42"/>
      <c r="AI20" s="42"/>
      <c r="AJ20" s="42"/>
      <c r="AK20" s="42"/>
      <c r="AL20" s="42"/>
      <c r="AM20" s="42"/>
      <c r="AN20" s="42"/>
      <c r="AO20" s="42"/>
      <c r="AP20" s="42"/>
      <c r="AQ20" s="42"/>
      <c r="AR20" s="42"/>
      <c r="AS20" s="42"/>
    </row>
    <row r="21" spans="2:68" x14ac:dyDescent="0.55000000000000004">
      <c r="B21" s="2"/>
      <c r="C21" s="2"/>
      <c r="D21" s="2"/>
      <c r="E21" s="2"/>
      <c r="F21" s="2"/>
      <c r="G21" s="2"/>
      <c r="H21" s="2"/>
      <c r="I21" s="2"/>
      <c r="J21" s="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row>
    <row r="22" spans="2:68" x14ac:dyDescent="0.55000000000000004">
      <c r="B22" s="2"/>
      <c r="C22" s="2"/>
      <c r="D22" s="2"/>
      <c r="E22" s="2"/>
      <c r="F22" s="2"/>
      <c r="G22" s="2"/>
      <c r="H22" s="2"/>
      <c r="I22" s="2"/>
      <c r="J22" s="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Q22" s="42"/>
      <c r="AR22" s="42"/>
      <c r="AS22" s="42"/>
    </row>
    <row r="23" spans="2:68" x14ac:dyDescent="0.55000000000000004">
      <c r="B23" s="2"/>
      <c r="C23" s="2"/>
      <c r="D23" s="2"/>
      <c r="E23" s="2"/>
      <c r="F23" s="2"/>
      <c r="G23" s="2"/>
      <c r="H23" s="2"/>
      <c r="I23" s="2"/>
      <c r="J23" s="2"/>
      <c r="Z23" s="51"/>
      <c r="AA23" s="51"/>
      <c r="AC23" s="2"/>
      <c r="AD23" s="2"/>
      <c r="AE23" s="2"/>
      <c r="AF23" s="2"/>
      <c r="AG23" s="2"/>
      <c r="AH23" s="2"/>
      <c r="AI23" s="2"/>
      <c r="AJ23" s="42"/>
      <c r="AK23" s="2"/>
      <c r="AL23" s="2"/>
    </row>
    <row r="24" spans="2:68" x14ac:dyDescent="0.55000000000000004">
      <c r="B24" s="2"/>
      <c r="C24" s="2"/>
      <c r="D24" s="2"/>
      <c r="E24" s="2"/>
      <c r="F24" s="2"/>
      <c r="G24" s="2"/>
      <c r="H24" s="2"/>
      <c r="I24" s="2"/>
      <c r="J24" s="2"/>
      <c r="Z24" s="51"/>
      <c r="AA24" s="51"/>
      <c r="AC24" s="2"/>
      <c r="AD24" s="2"/>
      <c r="AE24" s="2"/>
      <c r="AF24" s="2"/>
      <c r="AG24" s="2"/>
      <c r="AH24" s="2"/>
      <c r="AI24" s="2"/>
      <c r="AJ24" s="42"/>
      <c r="AK24" s="2"/>
      <c r="AL24" s="2"/>
    </row>
    <row r="25" spans="2:68" x14ac:dyDescent="0.55000000000000004">
      <c r="B25" s="2"/>
      <c r="C25" s="2"/>
      <c r="D25" s="2"/>
      <c r="E25" s="2"/>
      <c r="F25" s="2"/>
      <c r="G25" s="2"/>
      <c r="H25" s="2"/>
      <c r="I25" s="2"/>
      <c r="J25" s="2"/>
      <c r="Z25" s="51"/>
      <c r="AA25" s="51"/>
      <c r="AC25" s="2"/>
      <c r="AD25" s="2"/>
      <c r="AE25" s="2"/>
      <c r="AF25" s="2"/>
      <c r="AG25" s="2"/>
      <c r="AH25" s="2"/>
      <c r="AI25" s="2"/>
      <c r="AJ25" s="42"/>
      <c r="AK25" s="2"/>
      <c r="AL25" s="2"/>
    </row>
    <row r="26" spans="2:68" x14ac:dyDescent="0.55000000000000004">
      <c r="B26" s="2"/>
      <c r="C26" s="2"/>
      <c r="D26" s="2"/>
      <c r="E26" s="2"/>
      <c r="F26" s="2"/>
      <c r="G26" s="2"/>
      <c r="H26" s="2"/>
      <c r="I26" s="2"/>
      <c r="J26" s="2"/>
      <c r="Z26" s="51"/>
      <c r="AA26" s="51"/>
      <c r="AC26" s="2"/>
      <c r="AD26" s="2"/>
      <c r="AE26" s="2"/>
      <c r="AF26" s="2"/>
      <c r="AG26" s="2"/>
      <c r="AH26" s="2"/>
      <c r="AI26" s="2"/>
      <c r="AJ26" s="42"/>
      <c r="AK26" s="2"/>
      <c r="AL26" s="2"/>
    </row>
    <row r="27" spans="2:68" x14ac:dyDescent="0.55000000000000004">
      <c r="G27" s="2"/>
      <c r="H27" s="2"/>
      <c r="I27" s="2"/>
      <c r="J27" s="2"/>
      <c r="Z27" s="51"/>
      <c r="AA27" s="51"/>
      <c r="AC27" s="2"/>
      <c r="AD27" s="2"/>
      <c r="AE27" s="2"/>
      <c r="AF27" s="2"/>
      <c r="AG27" s="2"/>
      <c r="AH27" s="2"/>
      <c r="AI27" s="2"/>
      <c r="AJ27" s="42"/>
      <c r="AK27" s="2"/>
      <c r="AL27" s="2"/>
    </row>
    <row r="28" spans="2:68" x14ac:dyDescent="0.55000000000000004">
      <c r="G28" s="2"/>
      <c r="H28" s="2"/>
      <c r="I28" s="2"/>
      <c r="J28" s="2"/>
      <c r="Z28" s="51"/>
      <c r="AA28" s="51"/>
      <c r="AC28" s="2"/>
      <c r="AD28" s="2"/>
      <c r="AE28" s="2"/>
      <c r="AF28" s="2"/>
      <c r="AG28" s="2"/>
      <c r="AH28" s="2"/>
      <c r="AI28" s="2"/>
      <c r="AJ28" s="42"/>
      <c r="AK28" s="2"/>
      <c r="AL28" s="2"/>
    </row>
    <row r="29" spans="2:68" x14ac:dyDescent="0.55000000000000004">
      <c r="G29" s="2"/>
      <c r="H29" s="2"/>
      <c r="I29" s="2"/>
      <c r="J29" s="2"/>
      <c r="Z29" s="51"/>
      <c r="AA29" s="51"/>
      <c r="AC29" s="2"/>
      <c r="AD29" s="2"/>
      <c r="AE29" s="2"/>
      <c r="AF29" s="2"/>
      <c r="AG29" s="2"/>
      <c r="AH29" s="2"/>
      <c r="AI29" s="2"/>
      <c r="AJ29" s="42"/>
      <c r="AK29" s="2"/>
      <c r="AL29" s="2"/>
    </row>
    <row r="30" spans="2:68" x14ac:dyDescent="0.55000000000000004">
      <c r="G30" s="2"/>
      <c r="H30" s="2"/>
      <c r="I30" s="2"/>
      <c r="J30" s="2"/>
      <c r="Z30" s="51"/>
      <c r="AA30" s="51"/>
      <c r="AC30" s="2"/>
      <c r="AD30" s="2"/>
      <c r="AE30" s="2"/>
      <c r="AF30" s="2"/>
      <c r="AG30" s="2"/>
      <c r="AH30" s="2"/>
      <c r="AI30" s="2"/>
      <c r="AJ30" s="42"/>
      <c r="AK30" s="2"/>
      <c r="AL30" s="2"/>
      <c r="AM30" s="2"/>
      <c r="AN30" s="2"/>
    </row>
    <row r="31" spans="2:68" x14ac:dyDescent="0.55000000000000004">
      <c r="G31" s="2"/>
      <c r="H31" s="2"/>
      <c r="I31" s="2"/>
      <c r="J31" s="2"/>
      <c r="Z31" s="51"/>
      <c r="AA31" s="51"/>
      <c r="AC31" s="2"/>
      <c r="AD31" s="2"/>
      <c r="AE31" s="2"/>
      <c r="AF31" s="2"/>
      <c r="AG31" s="2"/>
      <c r="AH31" s="2"/>
      <c r="AI31" s="2"/>
      <c r="AJ31" s="42"/>
      <c r="AK31" s="2"/>
      <c r="AL31" s="2"/>
      <c r="AM31" s="2"/>
      <c r="AN31" s="2"/>
    </row>
    <row r="32" spans="2:68" x14ac:dyDescent="0.55000000000000004">
      <c r="G32" s="2"/>
      <c r="H32" s="2"/>
      <c r="I32" s="2"/>
      <c r="J32" s="2"/>
      <c r="Z32" s="51"/>
      <c r="AA32" s="51"/>
      <c r="AC32" s="2"/>
      <c r="AD32" s="2"/>
      <c r="AE32" s="2"/>
      <c r="AF32" s="2"/>
      <c r="AG32" s="2"/>
      <c r="AH32" s="2"/>
      <c r="AI32" s="2"/>
      <c r="AJ32" s="42"/>
      <c r="AK32" s="2"/>
      <c r="AL32" s="2"/>
      <c r="AM32" s="2"/>
      <c r="AN32" s="2"/>
      <c r="AZ32" s="40"/>
      <c r="BA32" s="40"/>
      <c r="BB32" s="40"/>
      <c r="BC32" s="40"/>
      <c r="BD32" s="40"/>
      <c r="BE32" s="40"/>
      <c r="BF32" s="40"/>
      <c r="BG32" s="40"/>
      <c r="BH32" s="40"/>
      <c r="BI32" s="40"/>
      <c r="BJ32" s="40"/>
      <c r="BK32" s="40"/>
      <c r="BL32" s="40"/>
      <c r="BM32" s="40"/>
      <c r="BN32" s="40"/>
      <c r="BO32" s="40"/>
      <c r="BP32" s="40"/>
    </row>
    <row r="33" spans="1:68" x14ac:dyDescent="0.55000000000000004">
      <c r="G33" s="2"/>
      <c r="H33" s="2"/>
      <c r="I33" s="2"/>
      <c r="J33" s="2"/>
      <c r="Z33" s="51"/>
      <c r="AA33" s="51"/>
      <c r="AC33" s="2"/>
      <c r="AD33" s="2"/>
      <c r="AE33" s="2"/>
      <c r="AF33" s="2"/>
      <c r="AG33" s="2"/>
      <c r="AH33" s="2"/>
      <c r="AI33" s="2"/>
      <c r="AJ33" s="42"/>
      <c r="AK33" s="2"/>
      <c r="AL33" s="2"/>
      <c r="AM33" s="2"/>
      <c r="AN33" s="2"/>
      <c r="AZ33" s="40"/>
      <c r="BA33" s="40"/>
      <c r="BB33" s="40"/>
      <c r="BC33" s="40"/>
      <c r="BD33" s="40"/>
      <c r="BE33" s="40"/>
      <c r="BF33" s="40"/>
      <c r="BG33" s="40"/>
      <c r="BH33" s="40"/>
      <c r="BI33" s="40"/>
      <c r="BJ33" s="40"/>
      <c r="BK33" s="40"/>
      <c r="BL33" s="40"/>
      <c r="BM33" s="40"/>
      <c r="BN33" s="40"/>
      <c r="BO33" s="40"/>
      <c r="BP33" s="40"/>
    </row>
    <row r="34" spans="1:68" x14ac:dyDescent="0.55000000000000004">
      <c r="G34" s="2"/>
      <c r="H34" s="2"/>
      <c r="I34" s="2"/>
      <c r="J34" s="2"/>
      <c r="Z34" s="51"/>
      <c r="AA34" s="51"/>
      <c r="AC34" s="2"/>
      <c r="AD34" s="2"/>
      <c r="AE34" s="2"/>
      <c r="AF34" s="2"/>
      <c r="AG34" s="2"/>
      <c r="AH34" s="2"/>
      <c r="AI34" s="2"/>
      <c r="AJ34" s="42"/>
      <c r="AK34" s="2"/>
      <c r="AL34" s="2"/>
      <c r="AM34" s="2"/>
      <c r="AN34" s="2"/>
      <c r="AZ34" s="40"/>
      <c r="BA34" s="40"/>
      <c r="BB34" s="40"/>
      <c r="BC34" s="40"/>
      <c r="BD34" s="40"/>
      <c r="BE34" s="40"/>
      <c r="BF34" s="40"/>
      <c r="BG34" s="40"/>
      <c r="BH34" s="40"/>
      <c r="BI34" s="40"/>
      <c r="BJ34" s="40"/>
      <c r="BK34" s="40"/>
      <c r="BL34" s="40"/>
      <c r="BM34" s="40"/>
      <c r="BN34" s="40"/>
      <c r="BO34" s="40"/>
      <c r="BP34" s="40"/>
    </row>
    <row r="35" spans="1:68" x14ac:dyDescent="0.55000000000000004">
      <c r="G35" s="2"/>
      <c r="H35" s="2"/>
      <c r="I35" s="2"/>
      <c r="J35" s="2"/>
      <c r="Z35" s="51"/>
      <c r="AA35" s="51"/>
      <c r="AD35" s="2"/>
      <c r="AG35" s="2"/>
      <c r="AK35" s="2"/>
      <c r="AL35" s="2"/>
      <c r="AM35" s="2"/>
      <c r="AN35" s="2"/>
      <c r="AO35" s="2"/>
      <c r="AZ35" s="40"/>
      <c r="BA35" s="40"/>
      <c r="BB35" s="40"/>
      <c r="BC35" s="40"/>
      <c r="BD35" s="40"/>
      <c r="BE35" s="40"/>
      <c r="BF35" s="40"/>
      <c r="BG35" s="40"/>
      <c r="BH35" s="40"/>
      <c r="BI35" s="40"/>
      <c r="BJ35" s="40"/>
      <c r="BK35" s="40"/>
      <c r="BL35" s="40"/>
      <c r="BM35" s="40"/>
      <c r="BN35" s="40"/>
      <c r="BO35" s="40"/>
      <c r="BP35" s="40"/>
    </row>
    <row r="36" spans="1:68" x14ac:dyDescent="0.55000000000000004">
      <c r="G36" s="2"/>
      <c r="H36" s="2"/>
      <c r="I36" s="2"/>
      <c r="J36" s="2"/>
      <c r="Z36" s="51"/>
      <c r="AA36" s="51"/>
      <c r="AD36" s="2"/>
      <c r="AG36" s="2"/>
      <c r="AK36" s="2"/>
      <c r="AL36" s="120"/>
      <c r="AM36" s="120"/>
      <c r="AN36" s="42"/>
      <c r="AO36" s="120"/>
      <c r="AP36" s="120"/>
      <c r="AQ36" s="42"/>
      <c r="AW36" s="120"/>
      <c r="AX36" s="120"/>
    </row>
    <row r="37" spans="1:68" x14ac:dyDescent="0.55000000000000004">
      <c r="G37" s="2"/>
      <c r="H37" s="2"/>
      <c r="I37" s="2"/>
      <c r="J37" s="2"/>
      <c r="AD37" s="2"/>
      <c r="AG37" s="2"/>
      <c r="AK37" s="2"/>
      <c r="AW37" s="120"/>
      <c r="AX37" s="120"/>
    </row>
    <row r="38" spans="1:68" x14ac:dyDescent="0.55000000000000004">
      <c r="A38" s="40"/>
      <c r="G38" s="42"/>
      <c r="H38" s="42"/>
      <c r="I38" s="42"/>
      <c r="J38" s="42"/>
      <c r="AD38" s="2"/>
      <c r="AG38" s="2"/>
      <c r="AK38" s="2"/>
      <c r="AW38" s="120"/>
      <c r="AX38" s="120"/>
    </row>
    <row r="39" spans="1:68" x14ac:dyDescent="0.55000000000000004">
      <c r="A39" s="40"/>
      <c r="G39" s="42"/>
      <c r="H39" s="42"/>
      <c r="I39" s="42"/>
      <c r="J39" s="42"/>
      <c r="K39" s="42"/>
      <c r="L39" s="42"/>
      <c r="AD39" s="2"/>
      <c r="AG39" s="2"/>
      <c r="AK39" s="2"/>
      <c r="AW39" s="120"/>
      <c r="AX39" s="120"/>
    </row>
    <row r="40" spans="1:68" ht="14.7" thickBot="1" x14ac:dyDescent="0.6">
      <c r="A40" s="40"/>
      <c r="G40" s="40"/>
      <c r="H40" s="40"/>
      <c r="I40" s="40"/>
      <c r="J40" s="40"/>
      <c r="K40" s="40"/>
      <c r="L40" s="40"/>
      <c r="AD40" s="2"/>
      <c r="AG40" s="2"/>
      <c r="AK40" s="2"/>
      <c r="AW40" s="120"/>
      <c r="AX40" s="120"/>
    </row>
    <row r="41" spans="1:68" ht="14.7" thickBot="1" x14ac:dyDescent="0.6">
      <c r="A41" s="40"/>
      <c r="B41" s="29" t="s">
        <v>229</v>
      </c>
      <c r="C41" s="30" t="s">
        <v>230</v>
      </c>
      <c r="D41" s="2"/>
      <c r="E41" s="29" t="s">
        <v>229</v>
      </c>
      <c r="F41" s="30" t="s">
        <v>230</v>
      </c>
      <c r="G41" s="40"/>
      <c r="H41" s="29" t="s">
        <v>229</v>
      </c>
      <c r="I41" s="30" t="s">
        <v>230</v>
      </c>
      <c r="J41" s="40"/>
      <c r="K41" s="40"/>
      <c r="L41" s="40"/>
      <c r="AD41" s="2"/>
      <c r="AG41" s="2"/>
      <c r="AH41" s="29" t="s">
        <v>229</v>
      </c>
      <c r="AI41" s="30" t="s">
        <v>288</v>
      </c>
      <c r="AJ41" s="15"/>
      <c r="AK41" s="2"/>
      <c r="AW41" s="120"/>
      <c r="AX41" s="120"/>
    </row>
    <row r="42" spans="1:68" x14ac:dyDescent="0.55000000000000004">
      <c r="A42" s="40"/>
      <c r="B42" s="4" t="s">
        <v>283</v>
      </c>
      <c r="C42" s="3" t="s">
        <v>243</v>
      </c>
      <c r="D42" s="2"/>
      <c r="E42" s="4" t="s">
        <v>241</v>
      </c>
      <c r="F42" s="3" t="s">
        <v>253</v>
      </c>
      <c r="G42" s="40"/>
      <c r="H42" s="4" t="s">
        <v>264</v>
      </c>
      <c r="I42" s="3" t="s">
        <v>276</v>
      </c>
      <c r="J42" s="40"/>
      <c r="K42" s="40"/>
      <c r="L42" s="40"/>
      <c r="N42" s="29" t="s">
        <v>229</v>
      </c>
      <c r="O42" s="30" t="s">
        <v>230</v>
      </c>
      <c r="Q42" s="29" t="s">
        <v>229</v>
      </c>
      <c r="R42" s="30" t="s">
        <v>230</v>
      </c>
      <c r="T42" s="29" t="s">
        <v>229</v>
      </c>
      <c r="U42" s="30" t="s">
        <v>230</v>
      </c>
      <c r="AB42" s="29" t="s">
        <v>229</v>
      </c>
      <c r="AC42" s="30" t="s">
        <v>288</v>
      </c>
      <c r="AD42" s="2"/>
      <c r="AE42" s="29" t="s">
        <v>229</v>
      </c>
      <c r="AF42" s="30" t="s">
        <v>288</v>
      </c>
      <c r="AG42" s="2"/>
      <c r="AH42" s="44" t="s">
        <v>542</v>
      </c>
      <c r="AI42" s="45" t="s">
        <v>543</v>
      </c>
      <c r="AJ42" s="170"/>
      <c r="AK42" s="2"/>
      <c r="AL42" s="29" t="s">
        <v>229</v>
      </c>
      <c r="AM42" s="30" t="s">
        <v>288</v>
      </c>
      <c r="AN42" s="42"/>
      <c r="AO42" s="29" t="s">
        <v>229</v>
      </c>
      <c r="AP42" s="30" t="s">
        <v>288</v>
      </c>
      <c r="AQ42" s="42"/>
      <c r="AR42" s="29" t="s">
        <v>229</v>
      </c>
      <c r="AS42" s="30" t="s">
        <v>288</v>
      </c>
      <c r="AW42" s="120"/>
      <c r="AX42" s="120"/>
    </row>
    <row r="43" spans="1:68" x14ac:dyDescent="0.55000000000000004">
      <c r="A43" s="40"/>
      <c r="B43" s="4" t="s">
        <v>231</v>
      </c>
      <c r="C43" s="3" t="s">
        <v>243</v>
      </c>
      <c r="D43" s="2"/>
      <c r="E43" s="4" t="s">
        <v>242</v>
      </c>
      <c r="F43" s="3" t="s">
        <v>254</v>
      </c>
      <c r="G43" s="40"/>
      <c r="H43" s="4" t="s">
        <v>265</v>
      </c>
      <c r="I43" s="3" t="s">
        <v>277</v>
      </c>
      <c r="J43" s="40"/>
      <c r="K43" s="40"/>
      <c r="L43" s="40"/>
      <c r="N43" s="4" t="s">
        <v>465</v>
      </c>
      <c r="O43" s="3" t="s">
        <v>467</v>
      </c>
      <c r="Q43" s="4" t="s">
        <v>483</v>
      </c>
      <c r="R43" s="3" t="s">
        <v>484</v>
      </c>
      <c r="S43" s="120"/>
      <c r="T43" s="4" t="s">
        <v>498</v>
      </c>
      <c r="U43" s="3" t="s">
        <v>495</v>
      </c>
      <c r="AB43" s="44" t="s">
        <v>264</v>
      </c>
      <c r="AC43" s="45" t="s">
        <v>507</v>
      </c>
      <c r="AD43" s="2"/>
      <c r="AE43" s="44" t="s">
        <v>524</v>
      </c>
      <c r="AF43" s="45" t="s">
        <v>525</v>
      </c>
      <c r="AG43" s="2"/>
      <c r="AH43" s="44" t="s">
        <v>544</v>
      </c>
      <c r="AI43" s="45" t="s">
        <v>545</v>
      </c>
      <c r="AJ43" s="170"/>
      <c r="AL43" s="44" t="s">
        <v>260</v>
      </c>
      <c r="AM43" s="45" t="s">
        <v>512</v>
      </c>
      <c r="AN43" s="42"/>
      <c r="AO43" s="44" t="s">
        <v>532</v>
      </c>
      <c r="AP43" s="45" t="s">
        <v>533</v>
      </c>
      <c r="AQ43" s="42"/>
      <c r="AR43" s="44" t="s">
        <v>477</v>
      </c>
      <c r="AS43" s="45" t="s">
        <v>548</v>
      </c>
      <c r="AW43" s="120"/>
      <c r="AX43" s="120"/>
    </row>
    <row r="44" spans="1:68" x14ac:dyDescent="0.55000000000000004">
      <c r="A44" s="40"/>
      <c r="B44" s="4" t="s">
        <v>232</v>
      </c>
      <c r="C44" s="3" t="s">
        <v>244</v>
      </c>
      <c r="D44" s="2"/>
      <c r="E44" s="4" t="s">
        <v>255</v>
      </c>
      <c r="F44" s="3" t="s">
        <v>267</v>
      </c>
      <c r="G44" s="40"/>
      <c r="H44" s="4" t="s">
        <v>266</v>
      </c>
      <c r="I44" s="3" t="s">
        <v>277</v>
      </c>
      <c r="J44" s="40"/>
      <c r="K44" s="40"/>
      <c r="L44" s="40"/>
      <c r="N44" s="4" t="s">
        <v>466</v>
      </c>
      <c r="O44" s="3" t="s">
        <v>468</v>
      </c>
      <c r="Q44" s="4" t="s">
        <v>485</v>
      </c>
      <c r="R44" s="3" t="s">
        <v>486</v>
      </c>
      <c r="S44" s="120"/>
      <c r="T44" s="4" t="s">
        <v>499</v>
      </c>
      <c r="U44" s="3" t="s">
        <v>497</v>
      </c>
      <c r="AB44" s="44" t="s">
        <v>508</v>
      </c>
      <c r="AC44" s="45" t="s">
        <v>290</v>
      </c>
      <c r="AD44" s="40"/>
      <c r="AE44" s="44" t="s">
        <v>526</v>
      </c>
      <c r="AF44" s="45" t="s">
        <v>527</v>
      </c>
      <c r="AG44" s="40"/>
      <c r="AH44" s="44" t="s">
        <v>546</v>
      </c>
      <c r="AI44" s="45" t="s">
        <v>545</v>
      </c>
      <c r="AJ44" s="170"/>
      <c r="AL44" s="44" t="s">
        <v>513</v>
      </c>
      <c r="AM44" s="45" t="s">
        <v>514</v>
      </c>
      <c r="AN44" s="42"/>
      <c r="AO44" s="44"/>
      <c r="AP44" s="45" t="s">
        <v>534</v>
      </c>
      <c r="AQ44" s="42"/>
      <c r="AR44" s="44" t="s">
        <v>549</v>
      </c>
      <c r="AS44" s="45" t="s">
        <v>527</v>
      </c>
      <c r="AW44" s="120"/>
      <c r="AX44" s="120"/>
    </row>
    <row r="45" spans="1:68" x14ac:dyDescent="0.55000000000000004">
      <c r="A45" s="40"/>
      <c r="B45" s="4" t="s">
        <v>233</v>
      </c>
      <c r="C45" s="3" t="s">
        <v>245</v>
      </c>
      <c r="D45" s="2"/>
      <c r="E45" s="4" t="s">
        <v>256</v>
      </c>
      <c r="F45" s="3" t="s">
        <v>268</v>
      </c>
      <c r="G45" s="40"/>
      <c r="H45" s="4" t="s">
        <v>278</v>
      </c>
      <c r="I45" s="3" t="s">
        <v>277</v>
      </c>
      <c r="J45" s="40"/>
      <c r="K45" s="40"/>
      <c r="L45" s="40"/>
      <c r="N45" s="6" t="s">
        <v>469</v>
      </c>
      <c r="O45" s="61" t="s">
        <v>471</v>
      </c>
      <c r="Q45" s="4" t="s">
        <v>487</v>
      </c>
      <c r="R45" s="3" t="s">
        <v>486</v>
      </c>
      <c r="S45" s="120"/>
      <c r="T45" s="4" t="s">
        <v>500</v>
      </c>
      <c r="U45" s="3" t="s">
        <v>495</v>
      </c>
      <c r="Z45" s="51"/>
      <c r="AA45" s="51"/>
      <c r="AB45" s="44" t="s">
        <v>509</v>
      </c>
      <c r="AC45" s="45" t="s">
        <v>510</v>
      </c>
      <c r="AD45" s="40"/>
      <c r="AE45" s="44" t="s">
        <v>528</v>
      </c>
      <c r="AF45" s="45" t="s">
        <v>529</v>
      </c>
      <c r="AG45" s="40"/>
      <c r="AH45" s="44" t="s">
        <v>547</v>
      </c>
      <c r="AI45" s="45" t="s">
        <v>527</v>
      </c>
      <c r="AJ45" s="170"/>
      <c r="AL45" s="44" t="s">
        <v>515</v>
      </c>
      <c r="AM45" s="45" t="s">
        <v>516</v>
      </c>
      <c r="AN45" s="42"/>
      <c r="AO45" s="44" t="s">
        <v>535</v>
      </c>
      <c r="AP45" s="45" t="s">
        <v>514</v>
      </c>
      <c r="AQ45" s="42"/>
      <c r="AR45" s="44" t="s">
        <v>550</v>
      </c>
      <c r="AS45" s="45" t="s">
        <v>551</v>
      </c>
      <c r="AW45" s="120"/>
      <c r="AX45" s="120"/>
    </row>
    <row r="46" spans="1:68" x14ac:dyDescent="0.55000000000000004">
      <c r="A46" s="40"/>
      <c r="B46" s="4" t="s">
        <v>234</v>
      </c>
      <c r="C46" s="3" t="s">
        <v>246</v>
      </c>
      <c r="D46" s="2"/>
      <c r="E46" s="4" t="s">
        <v>257</v>
      </c>
      <c r="F46" s="3" t="s">
        <v>269</v>
      </c>
      <c r="G46" s="40"/>
      <c r="H46" s="4" t="s">
        <v>279</v>
      </c>
      <c r="I46" s="3" t="s">
        <v>281</v>
      </c>
      <c r="J46" s="40"/>
      <c r="K46" s="40"/>
      <c r="L46" s="40"/>
      <c r="N46" s="4" t="s">
        <v>470</v>
      </c>
      <c r="O46" s="3" t="s">
        <v>472</v>
      </c>
      <c r="Q46" s="4" t="s">
        <v>464</v>
      </c>
      <c r="R46" s="3" t="s">
        <v>286</v>
      </c>
      <c r="S46" s="120"/>
      <c r="T46" s="4" t="s">
        <v>501</v>
      </c>
      <c r="U46" s="3" t="s">
        <v>502</v>
      </c>
      <c r="Z46" s="51"/>
      <c r="AA46" s="51"/>
      <c r="AB46" s="44" t="s">
        <v>511</v>
      </c>
      <c r="AC46" s="45" t="s">
        <v>512</v>
      </c>
      <c r="AD46" s="40"/>
      <c r="AE46" s="44" t="s">
        <v>530</v>
      </c>
      <c r="AF46" s="45" t="s">
        <v>531</v>
      </c>
      <c r="AG46" s="40"/>
      <c r="AH46" s="44" t="s">
        <v>477</v>
      </c>
      <c r="AI46" s="45" t="s">
        <v>548</v>
      </c>
      <c r="AJ46" s="170"/>
      <c r="AL46" s="44" t="s">
        <v>517</v>
      </c>
      <c r="AM46" s="45" t="s">
        <v>289</v>
      </c>
      <c r="AN46" s="42"/>
      <c r="AO46" s="44" t="s">
        <v>536</v>
      </c>
      <c r="AP46" s="45" t="s">
        <v>537</v>
      </c>
      <c r="AQ46" s="42"/>
      <c r="AR46" s="44" t="s">
        <v>561</v>
      </c>
      <c r="AS46" s="45" t="s">
        <v>527</v>
      </c>
      <c r="AW46" s="120"/>
      <c r="AX46" s="120"/>
    </row>
    <row r="47" spans="1:68" ht="14.7" thickBot="1" x14ac:dyDescent="0.6">
      <c r="A47" s="40"/>
      <c r="B47" s="4" t="s">
        <v>235</v>
      </c>
      <c r="C47" s="3" t="s">
        <v>247</v>
      </c>
      <c r="D47" s="2"/>
      <c r="E47" s="4" t="s">
        <v>258</v>
      </c>
      <c r="F47" s="3" t="s">
        <v>270</v>
      </c>
      <c r="G47" s="40"/>
      <c r="H47" s="4" t="s">
        <v>280</v>
      </c>
      <c r="I47" s="3" t="s">
        <v>282</v>
      </c>
      <c r="J47" s="40"/>
      <c r="K47" s="40"/>
      <c r="L47" s="40"/>
      <c r="N47" s="4" t="s">
        <v>473</v>
      </c>
      <c r="O47" s="3" t="s">
        <v>474</v>
      </c>
      <c r="Q47" s="4" t="s">
        <v>488</v>
      </c>
      <c r="R47" s="3" t="s">
        <v>489</v>
      </c>
      <c r="S47" s="120"/>
      <c r="T47" s="24" t="s">
        <v>503</v>
      </c>
      <c r="U47" s="31" t="s">
        <v>504</v>
      </c>
      <c r="AB47" s="44" t="s">
        <v>513</v>
      </c>
      <c r="AC47" s="45" t="s">
        <v>514</v>
      </c>
      <c r="AD47" s="40"/>
      <c r="AE47" s="44" t="s">
        <v>532</v>
      </c>
      <c r="AF47" s="45" t="s">
        <v>533</v>
      </c>
      <c r="AG47" s="40"/>
      <c r="AH47" s="44" t="s">
        <v>549</v>
      </c>
      <c r="AI47" s="45" t="s">
        <v>527</v>
      </c>
      <c r="AJ47" s="170"/>
      <c r="AL47" s="44" t="s">
        <v>518</v>
      </c>
      <c r="AM47" s="45" t="s">
        <v>519</v>
      </c>
      <c r="AN47" s="42"/>
      <c r="AO47" s="44" t="s">
        <v>538</v>
      </c>
      <c r="AP47" s="45" t="s">
        <v>539</v>
      </c>
      <c r="AQ47" s="42"/>
      <c r="AR47" s="44" t="s">
        <v>552</v>
      </c>
      <c r="AS47" s="45" t="s">
        <v>489</v>
      </c>
      <c r="AW47" s="120"/>
      <c r="AX47" s="120"/>
    </row>
    <row r="48" spans="1:68" ht="14.7" thickBot="1" x14ac:dyDescent="0.6">
      <c r="A48" s="40"/>
      <c r="B48" s="4" t="s">
        <v>236</v>
      </c>
      <c r="C48" s="3" t="s">
        <v>248</v>
      </c>
      <c r="D48" s="2"/>
      <c r="E48" s="4" t="s">
        <v>259</v>
      </c>
      <c r="F48" s="3" t="s">
        <v>271</v>
      </c>
      <c r="G48" s="40"/>
      <c r="H48" s="7" t="s">
        <v>284</v>
      </c>
      <c r="I48" s="48" t="s">
        <v>282</v>
      </c>
      <c r="J48" s="40"/>
      <c r="K48" s="40"/>
      <c r="L48" s="40"/>
      <c r="N48" s="4" t="s">
        <v>475</v>
      </c>
      <c r="O48" s="3" t="s">
        <v>476</v>
      </c>
      <c r="Q48" s="4" t="s">
        <v>239</v>
      </c>
      <c r="R48" s="3" t="s">
        <v>490</v>
      </c>
      <c r="T48" s="120"/>
      <c r="U48" s="120"/>
      <c r="V48" s="120"/>
      <c r="AB48" s="44" t="s">
        <v>515</v>
      </c>
      <c r="AC48" s="45" t="s">
        <v>516</v>
      </c>
      <c r="AD48" s="40"/>
      <c r="AE48" s="44"/>
      <c r="AF48" s="45" t="s">
        <v>534</v>
      </c>
      <c r="AG48" s="40"/>
      <c r="AH48" s="44" t="s">
        <v>550</v>
      </c>
      <c r="AI48" s="45" t="s">
        <v>551</v>
      </c>
      <c r="AJ48" s="170"/>
      <c r="AL48" s="44" t="s">
        <v>520</v>
      </c>
      <c r="AM48" s="45" t="s">
        <v>521</v>
      </c>
      <c r="AN48" s="42"/>
      <c r="AO48" s="44" t="s">
        <v>540</v>
      </c>
      <c r="AP48" s="45" t="s">
        <v>541</v>
      </c>
      <c r="AQ48" s="42"/>
      <c r="AR48" s="44" t="s">
        <v>553</v>
      </c>
      <c r="AS48" s="45" t="s">
        <v>554</v>
      </c>
      <c r="AW48" s="120"/>
      <c r="AX48" s="120"/>
    </row>
    <row r="49" spans="1:51" x14ac:dyDescent="0.55000000000000004">
      <c r="A49" s="40"/>
      <c r="B49" s="4" t="s">
        <v>237</v>
      </c>
      <c r="C49" s="3" t="s">
        <v>249</v>
      </c>
      <c r="D49" s="2"/>
      <c r="E49" s="4" t="s">
        <v>260</v>
      </c>
      <c r="F49" s="3" t="s">
        <v>272</v>
      </c>
      <c r="G49" s="40"/>
      <c r="H49" s="29" t="s">
        <v>296</v>
      </c>
      <c r="I49" s="30" t="s">
        <v>288</v>
      </c>
      <c r="J49" s="40"/>
      <c r="K49" s="40"/>
      <c r="L49" s="40"/>
      <c r="N49" s="4" t="s">
        <v>477</v>
      </c>
      <c r="O49" s="3" t="s">
        <v>505</v>
      </c>
      <c r="Q49" s="4" t="s">
        <v>491</v>
      </c>
      <c r="R49" s="3" t="s">
        <v>492</v>
      </c>
      <c r="S49" s="120"/>
      <c r="U49" s="120"/>
      <c r="V49" s="120"/>
      <c r="AB49" s="44" t="s">
        <v>517</v>
      </c>
      <c r="AC49" s="45" t="s">
        <v>289</v>
      </c>
      <c r="AE49" s="44" t="s">
        <v>535</v>
      </c>
      <c r="AF49" s="45" t="s">
        <v>514</v>
      </c>
      <c r="AG49" s="40"/>
      <c r="AH49" s="44" t="s">
        <v>552</v>
      </c>
      <c r="AI49" s="45" t="s">
        <v>489</v>
      </c>
      <c r="AJ49" s="170"/>
      <c r="AL49" s="44" t="s">
        <v>558</v>
      </c>
      <c r="AM49" s="45" t="s">
        <v>523</v>
      </c>
      <c r="AN49" s="120"/>
      <c r="AO49" s="44" t="s">
        <v>542</v>
      </c>
      <c r="AP49" s="45" t="s">
        <v>543</v>
      </c>
      <c r="AQ49" s="120"/>
      <c r="AR49" s="44" t="s">
        <v>555</v>
      </c>
      <c r="AS49" s="45" t="s">
        <v>556</v>
      </c>
      <c r="AW49" s="120"/>
      <c r="AX49" s="120"/>
    </row>
    <row r="50" spans="1:51" x14ac:dyDescent="0.55000000000000004">
      <c r="B50" s="4" t="s">
        <v>238</v>
      </c>
      <c r="C50" s="3" t="s">
        <v>250</v>
      </c>
      <c r="D50" s="2"/>
      <c r="E50" s="4" t="s">
        <v>261</v>
      </c>
      <c r="F50" s="3" t="s">
        <v>273</v>
      </c>
      <c r="H50" s="4" t="s">
        <v>291</v>
      </c>
      <c r="I50" s="3" t="s">
        <v>292</v>
      </c>
      <c r="N50" s="4" t="s">
        <v>506</v>
      </c>
      <c r="O50" s="3" t="s">
        <v>478</v>
      </c>
      <c r="Q50" s="4" t="s">
        <v>493</v>
      </c>
      <c r="R50" s="3" t="s">
        <v>494</v>
      </c>
      <c r="S50" s="120"/>
      <c r="V50" s="120"/>
      <c r="AB50" s="44" t="s">
        <v>518</v>
      </c>
      <c r="AC50" s="45" t="s">
        <v>519</v>
      </c>
      <c r="AE50" s="44" t="s">
        <v>536</v>
      </c>
      <c r="AF50" s="45" t="s">
        <v>537</v>
      </c>
      <c r="AG50" s="40"/>
      <c r="AH50" s="44" t="s">
        <v>553</v>
      </c>
      <c r="AI50" s="45" t="s">
        <v>554</v>
      </c>
      <c r="AJ50" s="170"/>
      <c r="AL50" s="44" t="s">
        <v>526</v>
      </c>
      <c r="AM50" s="45" t="s">
        <v>527</v>
      </c>
      <c r="AN50" s="120"/>
      <c r="AO50" s="44" t="s">
        <v>544</v>
      </c>
      <c r="AP50" s="45" t="s">
        <v>545</v>
      </c>
      <c r="AQ50" s="120"/>
      <c r="AR50" s="44" t="s">
        <v>557</v>
      </c>
      <c r="AS50" s="45" t="s">
        <v>554</v>
      </c>
      <c r="AW50" s="120"/>
      <c r="AX50" s="120"/>
    </row>
    <row r="51" spans="1:51" x14ac:dyDescent="0.55000000000000004">
      <c r="B51" s="4" t="s">
        <v>239</v>
      </c>
      <c r="C51" s="3" t="s">
        <v>251</v>
      </c>
      <c r="D51" s="2"/>
      <c r="E51" s="4" t="s">
        <v>262</v>
      </c>
      <c r="F51" s="3" t="s">
        <v>274</v>
      </c>
      <c r="H51" s="4" t="s">
        <v>293</v>
      </c>
      <c r="I51" s="3" t="s">
        <v>294</v>
      </c>
      <c r="N51" s="4" t="s">
        <v>479</v>
      </c>
      <c r="O51" s="3" t="s">
        <v>480</v>
      </c>
      <c r="Q51" s="4" t="s">
        <v>285</v>
      </c>
      <c r="R51" s="3" t="s">
        <v>495</v>
      </c>
      <c r="S51" s="120"/>
      <c r="V51" s="120"/>
      <c r="AB51" s="44" t="s">
        <v>520</v>
      </c>
      <c r="AC51" s="45" t="s">
        <v>521</v>
      </c>
      <c r="AE51" s="44" t="s">
        <v>538</v>
      </c>
      <c r="AF51" s="45" t="s">
        <v>539</v>
      </c>
      <c r="AG51" s="40"/>
      <c r="AH51" s="44" t="s">
        <v>555</v>
      </c>
      <c r="AI51" s="45" t="s">
        <v>556</v>
      </c>
      <c r="AJ51" s="170"/>
      <c r="AL51" s="44" t="s">
        <v>528</v>
      </c>
      <c r="AM51" s="45" t="s">
        <v>529</v>
      </c>
      <c r="AN51" s="120"/>
      <c r="AO51" s="44" t="s">
        <v>546</v>
      </c>
      <c r="AP51" s="45" t="s">
        <v>545</v>
      </c>
      <c r="AQ51" s="120"/>
      <c r="AR51" s="44"/>
      <c r="AS51" s="45"/>
      <c r="AW51" s="120"/>
      <c r="AX51" s="120"/>
    </row>
    <row r="52" spans="1:51" ht="14.7" thickBot="1" x14ac:dyDescent="0.6">
      <c r="B52" s="4" t="s">
        <v>240</v>
      </c>
      <c r="C52" s="3" t="s">
        <v>252</v>
      </c>
      <c r="D52" s="42"/>
      <c r="E52" s="4" t="s">
        <v>263</v>
      </c>
      <c r="F52" s="3" t="s">
        <v>275</v>
      </c>
      <c r="H52" s="24" t="s">
        <v>295</v>
      </c>
      <c r="I52" s="31" t="s">
        <v>47</v>
      </c>
      <c r="N52" s="4" t="s">
        <v>481</v>
      </c>
      <c r="O52" s="3" t="s">
        <v>482</v>
      </c>
      <c r="Q52" s="4" t="s">
        <v>496</v>
      </c>
      <c r="R52" s="3" t="s">
        <v>497</v>
      </c>
      <c r="S52" s="120"/>
      <c r="T52" s="120"/>
      <c r="U52" s="120"/>
      <c r="V52" s="120"/>
      <c r="AB52" s="46" t="s">
        <v>522</v>
      </c>
      <c r="AC52" s="47" t="s">
        <v>523</v>
      </c>
      <c r="AE52" s="46" t="s">
        <v>540</v>
      </c>
      <c r="AF52" s="47" t="s">
        <v>541</v>
      </c>
      <c r="AG52" s="40"/>
      <c r="AH52" s="46" t="s">
        <v>557</v>
      </c>
      <c r="AI52" s="47" t="s">
        <v>554</v>
      </c>
      <c r="AJ52" s="170"/>
      <c r="AL52" s="46" t="s">
        <v>559</v>
      </c>
      <c r="AM52" s="47" t="s">
        <v>560</v>
      </c>
      <c r="AN52" s="120"/>
      <c r="AO52" s="46" t="s">
        <v>547</v>
      </c>
      <c r="AP52" s="47" t="s">
        <v>527</v>
      </c>
      <c r="AQ52" s="120"/>
      <c r="AR52" s="46"/>
      <c r="AS52" s="47"/>
      <c r="AW52" s="120"/>
      <c r="AX52" s="120"/>
    </row>
    <row r="53" spans="1:51" x14ac:dyDescent="0.55000000000000004">
      <c r="D53" s="42"/>
      <c r="U53" s="120"/>
      <c r="V53" s="120"/>
      <c r="AD53" s="40"/>
      <c r="AE53" s="40"/>
      <c r="AF53" s="40"/>
      <c r="AG53" s="40"/>
      <c r="AO53" s="40"/>
      <c r="AW53" s="120"/>
      <c r="AX53" s="120"/>
    </row>
    <row r="54" spans="1:51" x14ac:dyDescent="0.55000000000000004">
      <c r="D54" s="40"/>
      <c r="U54" s="120"/>
      <c r="V54" s="120"/>
      <c r="AD54" s="40"/>
      <c r="AE54" s="40"/>
      <c r="AF54" s="40"/>
      <c r="AG54" s="40"/>
      <c r="AO54" s="40"/>
      <c r="AW54" s="120"/>
      <c r="AX54" s="120"/>
    </row>
    <row r="55" spans="1:51" x14ac:dyDescent="0.55000000000000004">
      <c r="D55" s="40"/>
      <c r="AD55" s="40"/>
      <c r="AE55" s="40"/>
      <c r="AF55" s="40"/>
      <c r="AG55" s="40"/>
      <c r="AO55" s="40"/>
      <c r="AW55" s="120"/>
      <c r="AX55" s="120"/>
    </row>
    <row r="56" spans="1:51" x14ac:dyDescent="0.55000000000000004">
      <c r="D56" s="40"/>
      <c r="AB56" s="120"/>
      <c r="AC56" s="120"/>
      <c r="AD56" s="40"/>
      <c r="AE56" s="40"/>
      <c r="AF56" s="40"/>
      <c r="AG56" s="40"/>
      <c r="AO56" s="40"/>
      <c r="AW56" s="120"/>
      <c r="AX56" s="120"/>
    </row>
    <row r="57" spans="1:51" x14ac:dyDescent="0.55000000000000004">
      <c r="D57" s="40"/>
      <c r="AB57" s="120"/>
      <c r="AC57" s="120"/>
      <c r="AD57" s="40"/>
      <c r="AE57" s="40"/>
      <c r="AF57" s="40"/>
      <c r="AG57" s="40"/>
      <c r="AO57" s="40"/>
      <c r="AW57" s="120"/>
      <c r="AX57" s="120"/>
    </row>
    <row r="58" spans="1:51" x14ac:dyDescent="0.55000000000000004">
      <c r="Q58" s="120"/>
      <c r="R58" s="120"/>
      <c r="S58" s="120"/>
      <c r="V58" s="120"/>
      <c r="AB58" s="120"/>
      <c r="AC58" s="120"/>
      <c r="AD58" s="40"/>
      <c r="AE58" s="40"/>
      <c r="AF58" s="40"/>
      <c r="AG58" s="40"/>
      <c r="AK58" s="40"/>
      <c r="AL58" s="40"/>
      <c r="AM58" s="40"/>
      <c r="AN58" s="40"/>
      <c r="AO58" s="40"/>
      <c r="AW58" s="120"/>
      <c r="AX58" s="120"/>
      <c r="AY58" s="120"/>
    </row>
    <row r="59" spans="1:51" x14ac:dyDescent="0.55000000000000004">
      <c r="Q59" s="120"/>
      <c r="R59" s="120"/>
      <c r="S59" s="120"/>
      <c r="V59" s="120"/>
      <c r="AB59" s="120"/>
      <c r="AC59" s="120"/>
      <c r="AD59" s="40"/>
      <c r="AE59" s="40"/>
      <c r="AF59" s="40"/>
      <c r="AG59" s="40"/>
      <c r="AK59" s="40"/>
      <c r="AL59" s="40"/>
      <c r="AM59" s="40"/>
      <c r="AN59" s="40"/>
      <c r="AO59" s="40"/>
      <c r="AW59" s="120"/>
      <c r="AX59" s="120"/>
      <c r="AY59" s="120"/>
    </row>
    <row r="60" spans="1:51" x14ac:dyDescent="0.55000000000000004">
      <c r="Q60" s="120"/>
      <c r="R60" s="120"/>
      <c r="S60" s="120"/>
      <c r="V60" s="120"/>
      <c r="AD60" s="40"/>
      <c r="AE60" s="40"/>
      <c r="AF60" s="40"/>
      <c r="AG60" s="40"/>
      <c r="AK60" s="40"/>
      <c r="AL60" s="40"/>
      <c r="AM60" s="40"/>
      <c r="AN60" s="40"/>
      <c r="AO60" s="40"/>
      <c r="AW60" s="120"/>
      <c r="AX60" s="120"/>
      <c r="AY60" s="120"/>
    </row>
    <row r="61" spans="1:51" x14ac:dyDescent="0.55000000000000004">
      <c r="Q61" s="120"/>
      <c r="R61" s="120"/>
      <c r="S61" s="120"/>
      <c r="T61" s="120"/>
      <c r="U61" s="120"/>
      <c r="V61" s="120"/>
      <c r="AD61" s="40"/>
      <c r="AE61" s="40"/>
      <c r="AF61" s="40"/>
      <c r="AG61" s="40"/>
      <c r="AK61" s="40"/>
      <c r="AL61" s="40"/>
      <c r="AM61" s="40"/>
      <c r="AN61" s="40"/>
      <c r="AO61" s="40"/>
      <c r="AW61" s="120"/>
      <c r="AX61" s="120"/>
      <c r="AY61" s="120"/>
    </row>
    <row r="62" spans="1:51" x14ac:dyDescent="0.55000000000000004">
      <c r="Q62" s="120"/>
      <c r="R62" s="120"/>
      <c r="AD62" s="40"/>
      <c r="AE62" s="40"/>
      <c r="AF62" s="40"/>
      <c r="AG62" s="40"/>
      <c r="AK62" s="40"/>
      <c r="AL62" s="40"/>
      <c r="AM62" s="40"/>
      <c r="AN62" s="40"/>
      <c r="AO62" s="40"/>
      <c r="AW62" s="120"/>
      <c r="AX62" s="120"/>
      <c r="AY62" s="120"/>
    </row>
    <row r="63" spans="1:51" x14ac:dyDescent="0.55000000000000004">
      <c r="Q63" s="120"/>
      <c r="R63" s="120"/>
      <c r="AD63" s="40"/>
      <c r="AE63" s="40"/>
      <c r="AF63" s="40"/>
      <c r="AG63" s="40"/>
      <c r="AK63" s="40"/>
      <c r="AL63" s="40"/>
      <c r="AM63" s="40"/>
      <c r="AN63" s="40"/>
      <c r="AO63" s="40"/>
      <c r="AW63" s="120"/>
      <c r="AX63" s="120"/>
      <c r="AY63" s="120"/>
    </row>
    <row r="64" spans="1:51" x14ac:dyDescent="0.55000000000000004">
      <c r="Q64" s="120"/>
      <c r="R64" s="120"/>
      <c r="AD64" s="40"/>
      <c r="AE64" s="40"/>
      <c r="AF64" s="40"/>
      <c r="AG64" s="40"/>
      <c r="AK64" s="40"/>
      <c r="AL64" s="40"/>
      <c r="AM64" s="40"/>
      <c r="AN64" s="40"/>
      <c r="AO64" s="40"/>
      <c r="AW64" s="120"/>
      <c r="AX64" s="120"/>
      <c r="AY64" s="120"/>
    </row>
    <row r="65" spans="29:51" x14ac:dyDescent="0.55000000000000004">
      <c r="AD65" s="40"/>
      <c r="AE65" s="40"/>
      <c r="AF65" s="40"/>
      <c r="AG65" s="40"/>
      <c r="AK65" s="40"/>
      <c r="AL65" s="40"/>
      <c r="AM65" s="40"/>
      <c r="AN65" s="40"/>
      <c r="AO65" s="40"/>
      <c r="AW65" s="120"/>
      <c r="AX65" s="120"/>
      <c r="AY65" s="120"/>
    </row>
    <row r="66" spans="29:51" x14ac:dyDescent="0.55000000000000004">
      <c r="AD66" s="40"/>
      <c r="AE66" s="40"/>
      <c r="AF66" s="40"/>
      <c r="AG66" s="40"/>
      <c r="AK66" s="40"/>
      <c r="AL66" s="40"/>
      <c r="AM66" s="40"/>
      <c r="AN66" s="40"/>
      <c r="AO66" s="40"/>
      <c r="AW66" s="120"/>
      <c r="AX66" s="120"/>
      <c r="AY66" s="120"/>
    </row>
    <row r="67" spans="29:51" x14ac:dyDescent="0.55000000000000004">
      <c r="AD67" s="40"/>
      <c r="AE67" s="40"/>
      <c r="AF67" s="40"/>
      <c r="AG67" s="40"/>
      <c r="AK67" s="40"/>
      <c r="AL67" s="40"/>
      <c r="AM67" s="40"/>
      <c r="AN67" s="40"/>
      <c r="AO67" s="40"/>
    </row>
    <row r="68" spans="29:51" x14ac:dyDescent="0.55000000000000004">
      <c r="AC68" s="40"/>
      <c r="AD68" s="40"/>
      <c r="AE68" s="40"/>
      <c r="AF68" s="40"/>
      <c r="AG68" s="40"/>
      <c r="AK68" s="40"/>
      <c r="AL68" s="40"/>
      <c r="AM68" s="40"/>
      <c r="AN68" s="40"/>
      <c r="AO68" s="40"/>
    </row>
    <row r="69" spans="29:51" x14ac:dyDescent="0.55000000000000004">
      <c r="AC69" s="40"/>
      <c r="AD69" s="40"/>
      <c r="AE69" s="40"/>
      <c r="AF69" s="40"/>
      <c r="AG69" s="40"/>
      <c r="AK69" s="40"/>
      <c r="AL69" s="40"/>
      <c r="AM69" s="40"/>
      <c r="AN69" s="40"/>
      <c r="AO69" s="40"/>
    </row>
    <row r="70" spans="29:51" x14ac:dyDescent="0.55000000000000004">
      <c r="AC70" s="40"/>
      <c r="AD70" s="40"/>
      <c r="AE70" s="40"/>
      <c r="AF70" s="40"/>
      <c r="AG70" s="40"/>
      <c r="AH70" s="40"/>
      <c r="AI70" s="40"/>
      <c r="AK70" s="40"/>
      <c r="AL70" s="40"/>
      <c r="AM70" s="40"/>
      <c r="AN70" s="40"/>
      <c r="AO70" s="40"/>
    </row>
    <row r="71" spans="29:51" x14ac:dyDescent="0.55000000000000004">
      <c r="AC71" s="40"/>
      <c r="AD71" s="40"/>
      <c r="AE71" s="40"/>
      <c r="AF71" s="40"/>
      <c r="AG71" s="40"/>
      <c r="AH71" s="40"/>
      <c r="AI71" s="40"/>
      <c r="AK71" s="40"/>
      <c r="AL71" s="40"/>
      <c r="AM71" s="40"/>
      <c r="AN71" s="40"/>
      <c r="AO71" s="40"/>
    </row>
    <row r="72" spans="29:51" x14ac:dyDescent="0.55000000000000004">
      <c r="AC72" s="40"/>
      <c r="AD72" s="40"/>
      <c r="AE72" s="40"/>
      <c r="AF72" s="40"/>
      <c r="AG72" s="40"/>
      <c r="AH72" s="40"/>
      <c r="AI72" s="40"/>
      <c r="AK72" s="40"/>
      <c r="AL72" s="40"/>
      <c r="AM72" s="40"/>
      <c r="AN72" s="40"/>
      <c r="AO72" s="40"/>
    </row>
    <row r="73" spans="29:51" x14ac:dyDescent="0.55000000000000004">
      <c r="AC73" s="40"/>
      <c r="AD73" s="40"/>
      <c r="AE73" s="40"/>
      <c r="AF73" s="40"/>
      <c r="AG73" s="40"/>
      <c r="AH73" s="40"/>
      <c r="AI73" s="40"/>
      <c r="AK73" s="40"/>
      <c r="AL73" s="40"/>
      <c r="AM73" s="40"/>
      <c r="AN73" s="40"/>
      <c r="AO73" s="40"/>
    </row>
    <row r="74" spans="29:51" x14ac:dyDescent="0.55000000000000004">
      <c r="AC74" s="40"/>
      <c r="AD74" s="40"/>
      <c r="AE74" s="40"/>
      <c r="AF74" s="40"/>
      <c r="AG74" s="40"/>
      <c r="AH74" s="40"/>
      <c r="AI74" s="40"/>
      <c r="AK74" s="40"/>
      <c r="AL74" s="40"/>
      <c r="AM74" s="40"/>
      <c r="AN74" s="40"/>
      <c r="AO74" s="40"/>
    </row>
    <row r="75" spans="29:51" x14ac:dyDescent="0.55000000000000004">
      <c r="AC75" s="40"/>
      <c r="AD75" s="40"/>
      <c r="AE75" s="40"/>
      <c r="AF75" s="40"/>
      <c r="AG75" s="40"/>
      <c r="AH75" s="40"/>
      <c r="AI75" s="40"/>
      <c r="AK75" s="40"/>
      <c r="AL75" s="40"/>
      <c r="AM75" s="40"/>
      <c r="AN75" s="40"/>
      <c r="AO75" s="40"/>
    </row>
    <row r="76" spans="29:51" x14ac:dyDescent="0.55000000000000004">
      <c r="AC76" s="40"/>
      <c r="AD76" s="40"/>
      <c r="AE76" s="40"/>
      <c r="AF76" s="40"/>
      <c r="AG76" s="40"/>
      <c r="AH76" s="40"/>
      <c r="AI76" s="40"/>
      <c r="AK76" s="40"/>
      <c r="AL76" s="40"/>
      <c r="AM76" s="40"/>
      <c r="AN76" s="40"/>
      <c r="AO76" s="40"/>
    </row>
    <row r="77" spans="29:51" x14ac:dyDescent="0.55000000000000004">
      <c r="AC77" s="40"/>
      <c r="AD77" s="40"/>
      <c r="AE77" s="40"/>
      <c r="AF77" s="40"/>
      <c r="AG77" s="40"/>
      <c r="AH77" s="40"/>
      <c r="AI77" s="40"/>
      <c r="AK77" s="40"/>
      <c r="AL77" s="40"/>
      <c r="AM77" s="40"/>
      <c r="AN77" s="40"/>
      <c r="AO77" s="40"/>
    </row>
    <row r="78" spans="29:51" x14ac:dyDescent="0.55000000000000004">
      <c r="AC78" s="40"/>
      <c r="AD78" s="40"/>
      <c r="AE78" s="40"/>
      <c r="AF78" s="40"/>
      <c r="AG78" s="40"/>
      <c r="AH78" s="40"/>
      <c r="AI78" s="40"/>
      <c r="AK78" s="40"/>
      <c r="AL78" s="40"/>
      <c r="AM78" s="40"/>
      <c r="AN78" s="40"/>
      <c r="AO78" s="40"/>
    </row>
    <row r="79" spans="29:51" x14ac:dyDescent="0.55000000000000004">
      <c r="AC79" s="40"/>
      <c r="AD79" s="40"/>
      <c r="AE79" s="40"/>
      <c r="AF79" s="40"/>
      <c r="AG79" s="40"/>
      <c r="AH79" s="40"/>
      <c r="AI79" s="40"/>
      <c r="AK79" s="40"/>
      <c r="AL79" s="40"/>
      <c r="AM79" s="40"/>
      <c r="AN79" s="40"/>
      <c r="AO79" s="40"/>
    </row>
    <row r="80" spans="29:51" x14ac:dyDescent="0.55000000000000004">
      <c r="AC80" s="40"/>
      <c r="AD80" s="40"/>
      <c r="AE80" s="40"/>
      <c r="AF80" s="40"/>
      <c r="AG80" s="40"/>
      <c r="AH80" s="40"/>
      <c r="AI80" s="40"/>
      <c r="AK80" s="40"/>
      <c r="AL80" s="40"/>
      <c r="AM80" s="40"/>
      <c r="AN80" s="40"/>
      <c r="AO80" s="40"/>
    </row>
    <row r="81" spans="29:41" x14ac:dyDescent="0.55000000000000004">
      <c r="AC81" s="40"/>
      <c r="AD81" s="40"/>
      <c r="AE81" s="40"/>
      <c r="AF81" s="40"/>
      <c r="AG81" s="40"/>
      <c r="AH81" s="40"/>
      <c r="AI81" s="40"/>
      <c r="AK81" s="40"/>
      <c r="AL81" s="40"/>
      <c r="AM81" s="40"/>
      <c r="AN81" s="40"/>
      <c r="AO81" s="40"/>
    </row>
    <row r="82" spans="29:41" x14ac:dyDescent="0.55000000000000004">
      <c r="AC82" s="40"/>
      <c r="AD82" s="40"/>
      <c r="AE82" s="40"/>
      <c r="AF82" s="40"/>
      <c r="AG82" s="40"/>
      <c r="AH82" s="40"/>
      <c r="AI82" s="40"/>
      <c r="AK82" s="40"/>
      <c r="AL82" s="40"/>
      <c r="AM82" s="40"/>
      <c r="AN82" s="40"/>
      <c r="AO82" s="40"/>
    </row>
    <row r="83" spans="29:41" x14ac:dyDescent="0.55000000000000004">
      <c r="AC83" s="40"/>
      <c r="AD83" s="40"/>
      <c r="AE83" s="40"/>
      <c r="AF83" s="40"/>
      <c r="AG83" s="40"/>
      <c r="AH83" s="40"/>
      <c r="AI83" s="40"/>
      <c r="AK83" s="40"/>
      <c r="AL83" s="40"/>
      <c r="AM83" s="40"/>
      <c r="AN83" s="40"/>
      <c r="AO83" s="40"/>
    </row>
    <row r="84" spans="29:41" x14ac:dyDescent="0.55000000000000004">
      <c r="AC84" s="40"/>
      <c r="AD84" s="40"/>
      <c r="AE84" s="40"/>
      <c r="AF84" s="40"/>
      <c r="AG84" s="40"/>
      <c r="AH84" s="40"/>
      <c r="AI84" s="40"/>
      <c r="AK84" s="40"/>
      <c r="AL84" s="40"/>
      <c r="AM84" s="40"/>
      <c r="AN84" s="40"/>
      <c r="AO84" s="40"/>
    </row>
    <row r="85" spans="29:41" x14ac:dyDescent="0.55000000000000004">
      <c r="AC85" s="40"/>
      <c r="AD85" s="40"/>
      <c r="AE85" s="40"/>
      <c r="AF85" s="40"/>
      <c r="AG85" s="40"/>
      <c r="AH85" s="40"/>
      <c r="AI85" s="40"/>
      <c r="AK85" s="40"/>
      <c r="AL85" s="40"/>
      <c r="AM85" s="40"/>
      <c r="AN85" s="40"/>
      <c r="AO85" s="40"/>
    </row>
    <row r="86" spans="29:41" x14ac:dyDescent="0.55000000000000004">
      <c r="AC86" s="40"/>
      <c r="AD86" s="40"/>
      <c r="AE86" s="40"/>
      <c r="AF86" s="40"/>
      <c r="AG86" s="40"/>
      <c r="AH86" s="40"/>
      <c r="AI86" s="40"/>
      <c r="AK86" s="40"/>
      <c r="AL86" s="40"/>
      <c r="AM86" s="40"/>
      <c r="AN86" s="40"/>
      <c r="AO86" s="40"/>
    </row>
    <row r="87" spans="29:41" x14ac:dyDescent="0.55000000000000004">
      <c r="AC87" s="40"/>
      <c r="AD87" s="40"/>
      <c r="AE87" s="40"/>
      <c r="AF87" s="40"/>
      <c r="AG87" s="40"/>
      <c r="AH87" s="40"/>
      <c r="AI87" s="40"/>
      <c r="AK87" s="40"/>
      <c r="AL87" s="40"/>
      <c r="AM87" s="40"/>
      <c r="AN87" s="40"/>
      <c r="AO87" s="40"/>
    </row>
    <row r="88" spans="29:41" x14ac:dyDescent="0.55000000000000004">
      <c r="AC88" s="40"/>
      <c r="AD88" s="40"/>
      <c r="AE88" s="40"/>
      <c r="AF88" s="40"/>
      <c r="AG88" s="40"/>
      <c r="AH88" s="40"/>
      <c r="AI88" s="40"/>
      <c r="AK88" s="40"/>
      <c r="AL88" s="40"/>
      <c r="AM88" s="40"/>
      <c r="AN88" s="40"/>
      <c r="AO88" s="40"/>
    </row>
    <row r="89" spans="29:41" x14ac:dyDescent="0.55000000000000004">
      <c r="AC89" s="40"/>
      <c r="AD89" s="40"/>
      <c r="AE89" s="40"/>
      <c r="AF89" s="40"/>
      <c r="AG89" s="40"/>
      <c r="AH89" s="40"/>
      <c r="AI89" s="40"/>
      <c r="AK89" s="40"/>
      <c r="AL89" s="40"/>
      <c r="AM89" s="40"/>
      <c r="AN89" s="40"/>
      <c r="AO89" s="40"/>
    </row>
    <row r="90" spans="29:41" x14ac:dyDescent="0.55000000000000004">
      <c r="AC90" s="40"/>
      <c r="AD90" s="40"/>
      <c r="AE90" s="40"/>
      <c r="AF90" s="40"/>
      <c r="AG90" s="40"/>
      <c r="AH90" s="40"/>
      <c r="AI90" s="40"/>
      <c r="AK90" s="40"/>
      <c r="AL90" s="40"/>
      <c r="AM90" s="40"/>
      <c r="AN90" s="40"/>
      <c r="AO90" s="40"/>
    </row>
    <row r="91" spans="29:41" x14ac:dyDescent="0.55000000000000004">
      <c r="AC91" s="40"/>
      <c r="AD91" s="40"/>
      <c r="AE91" s="40"/>
      <c r="AF91" s="40"/>
      <c r="AG91" s="40"/>
      <c r="AH91" s="40"/>
      <c r="AI91" s="40"/>
      <c r="AK91" s="40"/>
      <c r="AL91" s="40"/>
      <c r="AM91" s="40"/>
      <c r="AN91" s="40"/>
      <c r="AO91" s="40"/>
    </row>
    <row r="92" spans="29:41" x14ac:dyDescent="0.55000000000000004">
      <c r="AC92" s="40"/>
      <c r="AD92" s="40"/>
      <c r="AE92" s="40"/>
      <c r="AF92" s="40"/>
      <c r="AG92" s="40"/>
      <c r="AH92" s="40"/>
      <c r="AI92" s="40"/>
      <c r="AK92" s="40"/>
      <c r="AL92" s="40"/>
      <c r="AM92" s="40"/>
      <c r="AN92" s="40"/>
      <c r="AO92" s="40"/>
    </row>
    <row r="93" spans="29:41" x14ac:dyDescent="0.55000000000000004">
      <c r="AC93" s="40"/>
      <c r="AD93" s="40"/>
      <c r="AE93" s="40"/>
      <c r="AF93" s="40"/>
      <c r="AG93" s="40"/>
      <c r="AH93" s="40"/>
      <c r="AI93" s="40"/>
      <c r="AK93" s="40"/>
      <c r="AL93" s="40"/>
      <c r="AM93" s="40"/>
      <c r="AN93" s="40"/>
      <c r="AO93" s="40"/>
    </row>
    <row r="94" spans="29:41" x14ac:dyDescent="0.55000000000000004">
      <c r="AC94" s="40"/>
      <c r="AD94" s="40"/>
      <c r="AE94" s="40"/>
      <c r="AF94" s="40"/>
      <c r="AG94" s="40"/>
      <c r="AH94" s="40"/>
      <c r="AI94" s="40"/>
      <c r="AK94" s="40"/>
      <c r="AL94" s="40"/>
      <c r="AM94" s="40"/>
      <c r="AN94" s="40"/>
      <c r="AO94" s="40"/>
    </row>
    <row r="95" spans="29:41" x14ac:dyDescent="0.55000000000000004">
      <c r="AC95" s="40"/>
      <c r="AD95" s="40"/>
      <c r="AE95" s="40"/>
      <c r="AF95" s="40"/>
      <c r="AG95" s="40"/>
      <c r="AH95" s="40"/>
      <c r="AI95" s="40"/>
      <c r="AK95" s="40"/>
      <c r="AL95" s="40"/>
      <c r="AM95" s="40"/>
      <c r="AN95" s="40"/>
      <c r="AO95" s="40"/>
    </row>
    <row r="96" spans="29:41" x14ac:dyDescent="0.55000000000000004">
      <c r="AC96" s="40"/>
      <c r="AD96" s="40"/>
      <c r="AE96" s="40"/>
      <c r="AF96" s="40"/>
      <c r="AG96" s="40"/>
      <c r="AH96" s="40"/>
      <c r="AI96" s="40"/>
      <c r="AK96" s="40"/>
      <c r="AL96" s="40"/>
      <c r="AM96" s="40"/>
      <c r="AN96" s="40"/>
      <c r="AO96" s="40"/>
    </row>
    <row r="97" spans="29:41" x14ac:dyDescent="0.55000000000000004">
      <c r="AC97" s="40"/>
      <c r="AD97" s="40"/>
      <c r="AE97" s="40"/>
      <c r="AF97" s="40"/>
      <c r="AG97" s="40"/>
      <c r="AH97" s="40"/>
      <c r="AI97" s="40"/>
      <c r="AK97" s="40"/>
      <c r="AL97" s="40"/>
      <c r="AM97" s="40"/>
      <c r="AN97" s="40"/>
      <c r="AO97" s="40"/>
    </row>
    <row r="98" spans="29:41" x14ac:dyDescent="0.55000000000000004">
      <c r="AC98" s="40"/>
      <c r="AD98" s="40"/>
      <c r="AE98" s="40"/>
      <c r="AF98" s="40"/>
      <c r="AG98" s="40"/>
      <c r="AH98" s="40"/>
      <c r="AI98" s="40"/>
      <c r="AK98" s="40"/>
      <c r="AL98" s="40"/>
      <c r="AM98" s="40"/>
      <c r="AN98" s="40"/>
      <c r="AO98" s="40"/>
    </row>
    <row r="99" spans="29:41" x14ac:dyDescent="0.55000000000000004">
      <c r="AC99" s="40"/>
      <c r="AD99" s="40"/>
      <c r="AE99" s="40"/>
      <c r="AF99" s="40"/>
      <c r="AG99" s="40"/>
      <c r="AH99" s="40"/>
      <c r="AI99" s="40"/>
      <c r="AK99" s="40"/>
      <c r="AL99" s="40"/>
      <c r="AM99" s="40"/>
      <c r="AN99" s="40"/>
      <c r="AO99" s="40"/>
    </row>
    <row r="100" spans="29:41" x14ac:dyDescent="0.55000000000000004">
      <c r="AC100" s="40"/>
      <c r="AD100" s="40"/>
      <c r="AE100" s="40"/>
      <c r="AF100" s="40"/>
      <c r="AG100" s="40"/>
      <c r="AH100" s="40"/>
      <c r="AI100" s="40"/>
      <c r="AK100" s="40"/>
      <c r="AL100" s="40"/>
      <c r="AM100" s="40"/>
      <c r="AN100" s="40"/>
      <c r="AO100" s="40"/>
    </row>
    <row r="101" spans="29:41" x14ac:dyDescent="0.55000000000000004">
      <c r="AC101" s="40"/>
      <c r="AD101" s="40"/>
      <c r="AE101" s="40"/>
      <c r="AF101" s="40"/>
      <c r="AG101" s="40"/>
      <c r="AH101" s="40"/>
      <c r="AI101" s="40"/>
      <c r="AK101" s="40"/>
      <c r="AL101" s="40"/>
      <c r="AM101" s="40"/>
      <c r="AN101" s="40"/>
      <c r="AO101" s="40"/>
    </row>
    <row r="102" spans="29:41" x14ac:dyDescent="0.55000000000000004">
      <c r="AC102" s="40"/>
      <c r="AD102" s="40"/>
      <c r="AE102" s="40"/>
      <c r="AF102" s="40"/>
      <c r="AG102" s="40"/>
      <c r="AH102" s="40"/>
      <c r="AI102" s="40"/>
      <c r="AK102" s="40"/>
      <c r="AL102" s="40"/>
      <c r="AM102" s="40"/>
      <c r="AN102" s="40"/>
      <c r="AO102" s="40"/>
    </row>
    <row r="103" spans="29:41" x14ac:dyDescent="0.55000000000000004">
      <c r="AC103" s="40"/>
      <c r="AD103" s="40"/>
      <c r="AE103" s="40"/>
      <c r="AF103" s="40"/>
      <c r="AG103" s="40"/>
      <c r="AH103" s="40"/>
      <c r="AI103" s="40"/>
      <c r="AK103" s="40"/>
      <c r="AL103" s="40"/>
      <c r="AM103" s="40"/>
      <c r="AN103" s="40"/>
      <c r="AO103" s="40"/>
    </row>
    <row r="104" spans="29:41" x14ac:dyDescent="0.55000000000000004">
      <c r="AC104" s="40"/>
      <c r="AD104" s="40"/>
      <c r="AE104" s="40"/>
      <c r="AF104" s="40"/>
      <c r="AG104" s="40"/>
      <c r="AH104" s="40"/>
      <c r="AI104" s="40"/>
      <c r="AK104" s="40"/>
      <c r="AL104" s="40"/>
      <c r="AM104" s="40"/>
      <c r="AN104" s="40"/>
      <c r="AO104" s="40"/>
    </row>
    <row r="105" spans="29:41" x14ac:dyDescent="0.55000000000000004">
      <c r="AC105" s="40"/>
      <c r="AD105" s="40"/>
      <c r="AE105" s="40"/>
      <c r="AF105" s="40"/>
      <c r="AG105" s="40"/>
      <c r="AH105" s="40"/>
      <c r="AI105" s="40"/>
      <c r="AK105" s="40"/>
      <c r="AL105" s="40"/>
      <c r="AM105" s="40"/>
      <c r="AN105" s="40"/>
      <c r="AO105" s="40"/>
    </row>
    <row r="106" spans="29:41" x14ac:dyDescent="0.55000000000000004">
      <c r="AC106" s="40"/>
      <c r="AD106" s="40"/>
      <c r="AE106" s="40"/>
      <c r="AF106" s="40"/>
      <c r="AG106" s="40"/>
      <c r="AH106" s="40"/>
      <c r="AI106" s="40"/>
      <c r="AK106" s="40"/>
      <c r="AL106" s="40"/>
      <c r="AM106" s="40"/>
      <c r="AN106" s="40"/>
      <c r="AO106" s="40"/>
    </row>
    <row r="107" spans="29:41" x14ac:dyDescent="0.55000000000000004">
      <c r="AC107" s="40"/>
      <c r="AD107" s="40"/>
      <c r="AE107" s="40"/>
      <c r="AF107" s="40"/>
      <c r="AG107" s="40"/>
      <c r="AH107" s="40"/>
      <c r="AI107" s="40"/>
      <c r="AK107" s="40"/>
      <c r="AL107" s="40"/>
      <c r="AM107" s="40"/>
      <c r="AN107" s="40"/>
      <c r="AO107" s="40"/>
    </row>
    <row r="108" spans="29:41" x14ac:dyDescent="0.55000000000000004">
      <c r="AC108" s="40"/>
      <c r="AD108" s="40"/>
      <c r="AE108" s="40"/>
      <c r="AF108" s="40"/>
      <c r="AG108" s="40"/>
      <c r="AH108" s="40"/>
      <c r="AI108" s="40"/>
      <c r="AK108" s="40"/>
      <c r="AL108" s="40"/>
      <c r="AM108" s="40"/>
      <c r="AN108" s="40"/>
      <c r="AO108" s="40"/>
    </row>
    <row r="109" spans="29:41" x14ac:dyDescent="0.55000000000000004">
      <c r="AC109" s="40"/>
      <c r="AD109" s="40"/>
      <c r="AE109" s="40"/>
      <c r="AF109" s="40"/>
      <c r="AG109" s="40"/>
      <c r="AH109" s="40"/>
      <c r="AI109" s="40"/>
      <c r="AK109" s="40"/>
      <c r="AL109" s="40"/>
      <c r="AM109" s="40"/>
      <c r="AN109" s="40"/>
      <c r="AO109" s="40"/>
    </row>
    <row r="110" spans="29:41" x14ac:dyDescent="0.55000000000000004">
      <c r="AC110" s="40"/>
      <c r="AD110" s="40"/>
      <c r="AE110" s="40"/>
      <c r="AF110" s="40"/>
      <c r="AG110" s="40"/>
      <c r="AH110" s="40"/>
      <c r="AI110" s="40"/>
      <c r="AK110" s="40"/>
      <c r="AL110" s="40"/>
      <c r="AM110" s="40"/>
      <c r="AN110" s="40"/>
      <c r="AO110" s="40"/>
    </row>
    <row r="111" spans="29:41" x14ac:dyDescent="0.55000000000000004">
      <c r="AC111" s="40"/>
      <c r="AD111" s="40"/>
      <c r="AE111" s="40"/>
      <c r="AF111" s="40"/>
      <c r="AG111" s="40"/>
      <c r="AH111" s="40"/>
      <c r="AI111" s="40"/>
      <c r="AK111" s="40"/>
      <c r="AL111" s="40"/>
      <c r="AM111" s="40"/>
      <c r="AN111" s="40"/>
      <c r="AO111" s="40"/>
    </row>
    <row r="112" spans="29:41" x14ac:dyDescent="0.55000000000000004">
      <c r="AC112" s="40"/>
      <c r="AD112" s="40"/>
      <c r="AE112" s="40"/>
      <c r="AF112" s="40"/>
      <c r="AG112" s="40"/>
      <c r="AH112" s="40"/>
      <c r="AI112" s="40"/>
      <c r="AK112" s="40"/>
      <c r="AL112" s="40"/>
      <c r="AM112" s="40"/>
      <c r="AN112" s="40"/>
      <c r="AO112" s="40"/>
    </row>
    <row r="113" spans="29:41" x14ac:dyDescent="0.55000000000000004">
      <c r="AC113" s="40"/>
      <c r="AD113" s="40"/>
      <c r="AE113" s="40"/>
      <c r="AF113" s="40"/>
      <c r="AG113" s="40"/>
      <c r="AH113" s="40"/>
      <c r="AI113" s="40"/>
      <c r="AK113" s="40"/>
      <c r="AL113" s="40"/>
      <c r="AM113" s="40"/>
      <c r="AN113" s="40"/>
      <c r="AO113" s="40"/>
    </row>
    <row r="114" spans="29:41" x14ac:dyDescent="0.55000000000000004">
      <c r="AC114" s="40"/>
      <c r="AD114" s="40"/>
      <c r="AE114" s="40"/>
      <c r="AF114" s="40"/>
      <c r="AG114" s="40"/>
      <c r="AH114" s="40"/>
      <c r="AI114" s="40"/>
      <c r="AK114" s="40"/>
      <c r="AL114" s="40"/>
      <c r="AM114" s="40"/>
      <c r="AN114" s="40"/>
      <c r="AO114" s="40"/>
    </row>
    <row r="115" spans="29:41" x14ac:dyDescent="0.55000000000000004">
      <c r="AC115" s="40"/>
      <c r="AD115" s="40"/>
      <c r="AE115" s="40"/>
      <c r="AF115" s="40"/>
      <c r="AG115" s="40"/>
      <c r="AH115" s="40"/>
      <c r="AI115" s="40"/>
      <c r="AK115" s="40"/>
      <c r="AL115" s="40"/>
      <c r="AM115" s="40"/>
      <c r="AN115" s="40"/>
      <c r="AO115" s="40"/>
    </row>
    <row r="116" spans="29:41" x14ac:dyDescent="0.55000000000000004">
      <c r="AC116" s="40"/>
      <c r="AD116" s="40"/>
      <c r="AE116" s="40"/>
      <c r="AF116" s="40"/>
      <c r="AG116" s="40"/>
      <c r="AH116" s="40"/>
      <c r="AI116" s="40"/>
      <c r="AK116" s="40"/>
      <c r="AL116" s="40"/>
      <c r="AM116" s="40"/>
      <c r="AN116" s="40"/>
      <c r="AO116" s="40"/>
    </row>
    <row r="117" spans="29:41" x14ac:dyDescent="0.55000000000000004">
      <c r="AC117" s="40"/>
      <c r="AD117" s="40"/>
      <c r="AE117" s="40"/>
      <c r="AF117" s="40"/>
      <c r="AG117" s="40"/>
      <c r="AH117" s="40"/>
      <c r="AI117" s="40"/>
      <c r="AK117" s="40"/>
      <c r="AL117" s="40"/>
      <c r="AM117" s="40"/>
      <c r="AN117" s="40"/>
      <c r="AO117" s="40"/>
    </row>
    <row r="118" spans="29:41" x14ac:dyDescent="0.55000000000000004">
      <c r="AC118" s="40"/>
      <c r="AD118" s="40"/>
      <c r="AE118" s="40"/>
      <c r="AF118" s="40"/>
      <c r="AG118" s="40"/>
      <c r="AH118" s="40"/>
      <c r="AI118" s="40"/>
      <c r="AK118" s="40"/>
      <c r="AL118" s="40"/>
      <c r="AM118" s="40"/>
      <c r="AN118" s="40"/>
      <c r="AO118" s="40"/>
    </row>
  </sheetData>
  <sheetProtection algorithmName="SHA-512" hashValue="k1b1EqdetVT9gqOdOK7V++XkpxV1Xug6ZQIrFnSX0HtLph6RrJuONE6Jv6JwWiAS8HJkHj44Rt+E7o1YV8aCug==" saltValue="8hBkEaIjtw0mQ8oLzXxdTw==" spinCount="100000" sheet="1" selectLockedCells="1"/>
  <mergeCells count="1">
    <mergeCell ref="N3:Y3"/>
  </mergeCells>
  <phoneticPr fontId="5"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119FD-5778-4BFE-B493-151B44978211}">
  <dimension ref="A1:CC223"/>
  <sheetViews>
    <sheetView showGridLines="0" topLeftCell="A169" zoomScale="70" zoomScaleNormal="70" workbookViewId="0">
      <selection activeCell="D190" sqref="D190"/>
    </sheetView>
  </sheetViews>
  <sheetFormatPr defaultRowHeight="14.4" x14ac:dyDescent="0.55000000000000004"/>
  <cols>
    <col min="1" max="1" width="8.83984375" style="136"/>
    <col min="2" max="2" width="36.5234375" style="136" bestFit="1" customWidth="1"/>
    <col min="3" max="3" width="17.68359375" style="136" bestFit="1" customWidth="1"/>
    <col min="4" max="4" width="16" style="136" bestFit="1" customWidth="1"/>
    <col min="5" max="5" width="10.1015625" style="136" customWidth="1"/>
    <col min="6" max="6" width="14.89453125" style="136" bestFit="1" customWidth="1"/>
    <col min="7" max="7" width="16" style="136" bestFit="1" customWidth="1"/>
    <col min="8" max="8" width="8.83984375" style="136"/>
    <col min="9" max="9" width="14.89453125" style="136" bestFit="1" customWidth="1"/>
    <col min="10" max="10" width="15" style="136" bestFit="1" customWidth="1"/>
    <col min="11" max="12" width="8.83984375" style="136"/>
    <col min="13" max="13" width="10.7890625" style="136" customWidth="1"/>
    <col min="14" max="14" width="10.89453125" style="136" customWidth="1"/>
    <col min="15" max="17" width="8.83984375" style="136"/>
    <col min="18" max="18" width="21.7890625" style="136" bestFit="1" customWidth="1"/>
    <col min="19" max="19" width="11.41796875" style="136" bestFit="1" customWidth="1"/>
    <col min="20" max="20" width="11" style="136" bestFit="1" customWidth="1"/>
    <col min="21" max="81" width="8.83984375" style="136"/>
  </cols>
  <sheetData>
    <row r="1" spans="1:81" s="20" customFormat="1" x14ac:dyDescent="0.55000000000000004">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row>
    <row r="2" spans="1:81" s="10" customFormat="1" x14ac:dyDescent="0.55000000000000004">
      <c r="A2" s="136"/>
      <c r="B2" s="228"/>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row>
    <row r="3" spans="1:81" s="20" customFormat="1" ht="15.6" x14ac:dyDescent="0.6">
      <c r="A3" s="136"/>
      <c r="B3" s="228"/>
      <c r="C3" s="229"/>
      <c r="D3" s="230" t="s">
        <v>138</v>
      </c>
      <c r="E3" s="136"/>
      <c r="F3" s="229"/>
      <c r="G3" s="229"/>
      <c r="H3" s="229"/>
      <c r="I3" s="230" t="s">
        <v>377</v>
      </c>
      <c r="J3" s="229"/>
      <c r="K3" s="136"/>
      <c r="L3" s="229"/>
      <c r="M3" s="229"/>
      <c r="N3" s="229"/>
      <c r="O3" s="230" t="s">
        <v>151</v>
      </c>
      <c r="P3" s="229"/>
      <c r="Q3" s="229"/>
      <c r="R3" s="229"/>
      <c r="S3" s="229"/>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row>
    <row r="4" spans="1:81" s="20" customFormat="1" x14ac:dyDescent="0.55000000000000004">
      <c r="A4" s="136"/>
      <c r="B4" s="228"/>
      <c r="C4" s="229"/>
      <c r="D4" s="229"/>
      <c r="E4" s="229"/>
      <c r="F4" s="229"/>
      <c r="G4" s="229"/>
      <c r="H4" s="229"/>
      <c r="I4" s="229"/>
      <c r="J4" s="229"/>
      <c r="K4" s="229"/>
      <c r="L4" s="229"/>
      <c r="M4" s="229"/>
      <c r="N4" s="229"/>
      <c r="O4" s="229"/>
      <c r="P4" s="229"/>
      <c r="Q4" s="229"/>
      <c r="R4" s="229"/>
      <c r="S4" s="229"/>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row>
    <row r="5" spans="1:81" s="20" customFormat="1" x14ac:dyDescent="0.55000000000000004">
      <c r="A5" s="136"/>
      <c r="B5" s="228"/>
      <c r="C5" s="229"/>
      <c r="D5" s="229"/>
      <c r="E5" s="229"/>
      <c r="F5" s="229"/>
      <c r="G5" s="229"/>
      <c r="H5" s="229"/>
      <c r="I5" s="229"/>
      <c r="J5" s="229"/>
      <c r="K5" s="229"/>
      <c r="L5" s="229"/>
      <c r="M5" s="229"/>
      <c r="N5" s="229"/>
      <c r="O5" s="229"/>
      <c r="P5" s="229"/>
      <c r="Q5" s="229"/>
      <c r="R5" s="229"/>
      <c r="S5" s="229"/>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row>
    <row r="6" spans="1:81" s="20" customFormat="1" x14ac:dyDescent="0.55000000000000004">
      <c r="A6" s="136"/>
      <c r="B6" s="228"/>
      <c r="C6" s="229"/>
      <c r="D6" s="229"/>
      <c r="E6" s="136"/>
      <c r="F6" s="229"/>
      <c r="G6" s="229"/>
      <c r="H6" s="229"/>
      <c r="I6" s="229"/>
      <c r="J6" s="229"/>
      <c r="K6" s="229"/>
      <c r="L6" s="229"/>
      <c r="M6" s="229"/>
      <c r="N6" s="229"/>
      <c r="O6" s="229"/>
      <c r="P6" s="229"/>
      <c r="Q6" s="229"/>
      <c r="R6" s="229"/>
      <c r="S6" s="229"/>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row>
    <row r="7" spans="1:81" s="20" customFormat="1" x14ac:dyDescent="0.55000000000000004">
      <c r="A7" s="136"/>
      <c r="B7" s="228"/>
      <c r="C7" s="229"/>
      <c r="D7" s="229"/>
      <c r="E7" s="229"/>
      <c r="F7" s="229"/>
      <c r="G7" s="229"/>
      <c r="H7" s="229"/>
      <c r="I7" s="229"/>
      <c r="J7" s="229"/>
      <c r="K7" s="229"/>
      <c r="L7" s="229"/>
      <c r="M7" s="229"/>
      <c r="N7" s="229"/>
      <c r="O7" s="229"/>
      <c r="P7" s="229"/>
      <c r="Q7" s="229"/>
      <c r="R7" s="229"/>
      <c r="S7" s="229"/>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row>
    <row r="8" spans="1:81" s="20" customFormat="1" x14ac:dyDescent="0.55000000000000004">
      <c r="A8" s="136"/>
      <c r="B8" s="228"/>
      <c r="C8" s="229"/>
      <c r="D8" s="231"/>
      <c r="E8" s="231"/>
      <c r="F8" s="229"/>
      <c r="G8" s="229"/>
      <c r="H8" s="229"/>
      <c r="I8" s="232"/>
      <c r="J8" s="229"/>
      <c r="K8" s="233"/>
      <c r="L8" s="234"/>
      <c r="M8" s="235"/>
      <c r="N8" s="235"/>
      <c r="O8" s="235"/>
      <c r="P8" s="136"/>
      <c r="Q8" s="229"/>
      <c r="R8" s="229"/>
      <c r="S8" s="229"/>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row>
    <row r="9" spans="1:81" s="20" customFormat="1" ht="15.6" x14ac:dyDescent="0.6">
      <c r="A9" s="136"/>
      <c r="B9" s="228"/>
      <c r="C9" s="236" t="s">
        <v>136</v>
      </c>
      <c r="D9" s="231"/>
      <c r="E9" s="231"/>
      <c r="F9" s="229"/>
      <c r="G9" s="236" t="s">
        <v>137</v>
      </c>
      <c r="H9" s="136"/>
      <c r="I9" s="232"/>
      <c r="J9" s="229"/>
      <c r="K9" s="236" t="s">
        <v>140</v>
      </c>
      <c r="L9" s="234"/>
      <c r="M9" s="235"/>
      <c r="N9" s="235"/>
      <c r="O9" s="235"/>
      <c r="P9" s="229"/>
      <c r="Q9" s="230" t="s">
        <v>152</v>
      </c>
      <c r="R9" s="229"/>
      <c r="S9" s="229"/>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row>
    <row r="10" spans="1:81" s="20" customFormat="1" ht="18.3" x14ac:dyDescent="0.7">
      <c r="A10" s="136"/>
      <c r="B10" s="228"/>
      <c r="C10" s="229"/>
      <c r="D10" s="237" t="str">
        <f>Inventory!G3</f>
        <v>Select</v>
      </c>
      <c r="E10" s="237"/>
      <c r="F10" s="229"/>
      <c r="G10" s="229"/>
      <c r="H10" s="229"/>
      <c r="I10" s="238" t="str">
        <f>Inventory!K3</f>
        <v xml:space="preserve">Upgrading </v>
      </c>
      <c r="J10" s="229"/>
      <c r="K10" s="229"/>
      <c r="L10" s="234"/>
      <c r="M10" s="235"/>
      <c r="N10" s="239" t="str">
        <f>Inventory!O3</f>
        <v>Refinery</v>
      </c>
      <c r="O10" s="235"/>
      <c r="P10" s="229"/>
      <c r="Q10" s="229"/>
      <c r="R10" s="229"/>
      <c r="S10" s="229"/>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row>
    <row r="11" spans="1:81" s="20" customFormat="1" x14ac:dyDescent="0.55000000000000004">
      <c r="A11" s="136"/>
      <c r="B11" s="228"/>
      <c r="C11" s="229"/>
      <c r="D11" s="231"/>
      <c r="E11" s="231"/>
      <c r="F11" s="229"/>
      <c r="G11" s="229"/>
      <c r="H11" s="229"/>
      <c r="I11" s="232"/>
      <c r="J11" s="229"/>
      <c r="K11" s="233"/>
      <c r="L11" s="234"/>
      <c r="M11" s="235"/>
      <c r="N11" s="235"/>
      <c r="O11" s="235"/>
      <c r="P11" s="229"/>
      <c r="Q11" s="229"/>
      <c r="R11" s="229"/>
      <c r="S11" s="229"/>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row>
    <row r="12" spans="1:81" s="20" customFormat="1" x14ac:dyDescent="0.55000000000000004">
      <c r="A12" s="136"/>
      <c r="B12" s="228"/>
      <c r="C12" s="229"/>
      <c r="D12" s="240"/>
      <c r="E12" s="240"/>
      <c r="F12" s="229"/>
      <c r="G12" s="229"/>
      <c r="H12" s="229"/>
      <c r="I12" s="241"/>
      <c r="J12" s="229"/>
      <c r="K12" s="234"/>
      <c r="L12" s="234"/>
      <c r="M12" s="235"/>
      <c r="N12" s="235"/>
      <c r="O12" s="235"/>
      <c r="P12" s="136"/>
      <c r="Q12" s="229"/>
      <c r="R12" s="229"/>
      <c r="S12" s="229"/>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row>
    <row r="13" spans="1:81" s="20" customFormat="1" x14ac:dyDescent="0.55000000000000004">
      <c r="A13" s="136"/>
      <c r="B13" s="228"/>
      <c r="C13" s="229"/>
      <c r="D13" s="229"/>
      <c r="E13" s="229"/>
      <c r="F13" s="229"/>
      <c r="G13" s="229"/>
      <c r="H13" s="229"/>
      <c r="I13" s="229"/>
      <c r="J13" s="229"/>
      <c r="K13" s="229"/>
      <c r="L13" s="229"/>
      <c r="M13" s="229"/>
      <c r="N13" s="229"/>
      <c r="O13" s="229"/>
      <c r="P13" s="229"/>
      <c r="Q13" s="229"/>
      <c r="R13" s="229"/>
      <c r="S13" s="229"/>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row>
    <row r="14" spans="1:81" s="20" customFormat="1" x14ac:dyDescent="0.55000000000000004">
      <c r="A14" s="136"/>
      <c r="B14" s="228"/>
      <c r="C14" s="229"/>
      <c r="D14" s="229"/>
      <c r="E14" s="229"/>
      <c r="F14" s="229"/>
      <c r="G14" s="229"/>
      <c r="H14" s="229"/>
      <c r="I14" s="229"/>
      <c r="J14" s="229"/>
      <c r="K14" s="229"/>
      <c r="L14" s="229"/>
      <c r="M14" s="229"/>
      <c r="N14" s="229"/>
      <c r="O14" s="229"/>
      <c r="P14" s="229"/>
      <c r="Q14" s="229"/>
      <c r="R14" s="229"/>
      <c r="S14" s="229"/>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row>
    <row r="15" spans="1:81" s="20" customFormat="1" x14ac:dyDescent="0.55000000000000004">
      <c r="A15" s="136"/>
      <c r="B15" s="228"/>
      <c r="C15" s="229"/>
      <c r="D15" s="229"/>
      <c r="E15" s="229"/>
      <c r="F15" s="229"/>
      <c r="G15" s="229"/>
      <c r="H15" s="229"/>
      <c r="I15" s="229"/>
      <c r="J15" s="229"/>
      <c r="K15" s="229"/>
      <c r="L15" s="229"/>
      <c r="M15" s="229"/>
      <c r="N15" s="229"/>
      <c r="O15" s="229"/>
      <c r="P15" s="229"/>
      <c r="Q15" s="229"/>
      <c r="R15" s="229"/>
      <c r="S15" s="229"/>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row>
    <row r="16" spans="1:81" s="10" customFormat="1" x14ac:dyDescent="0.55000000000000004">
      <c r="A16" s="136"/>
      <c r="B16" s="228"/>
      <c r="C16" s="229"/>
      <c r="D16" s="229"/>
      <c r="E16" s="229"/>
      <c r="F16" s="229"/>
      <c r="G16" s="229"/>
      <c r="H16" s="229"/>
      <c r="I16" s="229"/>
      <c r="J16" s="229"/>
      <c r="K16" s="229"/>
      <c r="L16" s="229"/>
      <c r="M16" s="229"/>
      <c r="N16" s="229"/>
      <c r="O16" s="229"/>
      <c r="P16" s="229"/>
      <c r="Q16" s="229"/>
      <c r="R16" s="229"/>
      <c r="S16" s="229"/>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row>
    <row r="17" spans="1:81" s="10" customFormat="1" x14ac:dyDescent="0.55000000000000004">
      <c r="A17" s="136"/>
      <c r="B17" s="228"/>
      <c r="C17" s="229"/>
      <c r="D17" s="229"/>
      <c r="E17" s="229"/>
      <c r="F17" s="229"/>
      <c r="G17" s="229"/>
      <c r="H17" s="229"/>
      <c r="I17" s="229"/>
      <c r="J17" s="229"/>
      <c r="K17" s="229"/>
      <c r="L17" s="229"/>
      <c r="M17" s="229"/>
      <c r="N17" s="229"/>
      <c r="O17" s="229"/>
      <c r="P17" s="229"/>
      <c r="Q17" s="229"/>
      <c r="R17" s="229"/>
      <c r="S17" s="229"/>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row>
    <row r="18" spans="1:81" s="10" customFormat="1" ht="15.6" x14ac:dyDescent="0.6">
      <c r="A18" s="136"/>
      <c r="B18" s="228"/>
      <c r="C18" s="236" t="s">
        <v>139</v>
      </c>
      <c r="D18" s="136"/>
      <c r="E18" s="230" t="s">
        <v>353</v>
      </c>
      <c r="F18" s="136"/>
      <c r="G18" s="229"/>
      <c r="H18" s="229"/>
      <c r="I18" s="230" t="s">
        <v>378</v>
      </c>
      <c r="J18" s="229"/>
      <c r="K18" s="229"/>
      <c r="L18" s="229"/>
      <c r="M18" s="229"/>
      <c r="N18" s="229"/>
      <c r="O18" s="229"/>
      <c r="P18" s="229"/>
      <c r="Q18" s="229"/>
      <c r="R18" s="229"/>
      <c r="S18" s="229"/>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row>
    <row r="19" spans="1:81" s="10" customFormat="1" x14ac:dyDescent="0.55000000000000004">
      <c r="A19" s="136"/>
      <c r="B19" s="228"/>
      <c r="C19" s="229"/>
      <c r="D19" s="229"/>
      <c r="E19" s="229"/>
      <c r="F19" s="229"/>
      <c r="G19" s="229"/>
      <c r="H19" s="229"/>
      <c r="I19" s="229"/>
      <c r="J19" s="229"/>
      <c r="K19" s="229"/>
      <c r="L19" s="229"/>
      <c r="M19" s="229"/>
      <c r="N19" s="229"/>
      <c r="O19" s="229"/>
      <c r="P19" s="229"/>
      <c r="Q19" s="229"/>
      <c r="R19" s="229"/>
      <c r="S19" s="229"/>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row>
    <row r="20" spans="1:81" s="20" customFormat="1" x14ac:dyDescent="0.55000000000000004">
      <c r="A20" s="136"/>
      <c r="B20" s="228"/>
      <c r="C20" s="229"/>
      <c r="D20" s="229"/>
      <c r="E20" s="229"/>
      <c r="F20" s="229"/>
      <c r="G20" s="229"/>
      <c r="H20" s="229"/>
      <c r="I20" s="229"/>
      <c r="J20" s="229"/>
      <c r="K20" s="229"/>
      <c r="L20" s="229"/>
      <c r="M20" s="229"/>
      <c r="N20" s="229"/>
      <c r="O20" s="229"/>
      <c r="P20" s="229"/>
      <c r="Q20" s="229"/>
      <c r="R20" s="229"/>
      <c r="S20" s="229"/>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row>
    <row r="21" spans="1:81" s="23" customFormat="1" x14ac:dyDescent="0.55000000000000004">
      <c r="A21" s="136"/>
      <c r="B21" s="228"/>
      <c r="C21" s="228"/>
      <c r="D21" s="228"/>
      <c r="E21" s="228"/>
      <c r="F21" s="228"/>
      <c r="G21" s="228"/>
      <c r="H21" s="228"/>
      <c r="I21" s="228"/>
      <c r="J21" s="228"/>
      <c r="K21" s="228"/>
      <c r="L21" s="228"/>
      <c r="M21" s="228"/>
      <c r="N21" s="228"/>
      <c r="O21" s="228"/>
      <c r="P21" s="228"/>
      <c r="Q21" s="228"/>
      <c r="R21" s="228"/>
      <c r="S21" s="228"/>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row>
    <row r="22" spans="1:81" s="10" customFormat="1" ht="14.7" thickBot="1" x14ac:dyDescent="0.6">
      <c r="A22" s="136"/>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row>
    <row r="23" spans="1:81" s="10" customFormat="1" ht="18.600000000000001" thickBot="1" x14ac:dyDescent="0.75">
      <c r="A23" s="136"/>
      <c r="B23" s="242" t="s">
        <v>30</v>
      </c>
      <c r="C23" s="243"/>
      <c r="D23" s="243"/>
      <c r="E23" s="243"/>
      <c r="F23" s="243"/>
      <c r="G23" s="243"/>
      <c r="H23" s="243"/>
      <c r="I23" s="243"/>
      <c r="J23" s="243"/>
      <c r="K23" s="243"/>
      <c r="L23" s="243"/>
      <c r="M23" s="243"/>
      <c r="N23" s="244"/>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row>
    <row r="24" spans="1:81" s="10" customFormat="1" ht="18.3" x14ac:dyDescent="0.7">
      <c r="A24" s="136"/>
      <c r="B24" s="245"/>
      <c r="C24" s="246"/>
      <c r="D24" s="177" t="s">
        <v>34</v>
      </c>
      <c r="E24" s="177"/>
      <c r="F24" s="246"/>
      <c r="G24" s="177" t="s">
        <v>21</v>
      </c>
      <c r="H24" s="177"/>
      <c r="I24" s="246"/>
      <c r="J24" s="177" t="s">
        <v>23</v>
      </c>
      <c r="K24" s="177"/>
      <c r="L24" s="246"/>
      <c r="M24" s="177" t="s">
        <v>22</v>
      </c>
      <c r="N24" s="247"/>
      <c r="O24" s="136"/>
      <c r="P24" s="136"/>
      <c r="Q24" s="136"/>
      <c r="R24" s="248" t="s">
        <v>169</v>
      </c>
      <c r="S24" s="249"/>
      <c r="T24" s="250"/>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row>
    <row r="25" spans="1:81" s="10" customFormat="1" x14ac:dyDescent="0.55000000000000004">
      <c r="A25" s="136"/>
      <c r="B25" s="251" t="s">
        <v>121</v>
      </c>
      <c r="C25" s="246"/>
      <c r="D25" s="77"/>
      <c r="E25" s="252"/>
      <c r="F25" s="246"/>
      <c r="G25" s="79"/>
      <c r="H25" s="252"/>
      <c r="I25" s="246"/>
      <c r="J25" s="80"/>
      <c r="K25" s="252"/>
      <c r="L25" s="246"/>
      <c r="M25" s="81"/>
      <c r="N25" s="253"/>
      <c r="O25" s="136"/>
      <c r="P25" s="136"/>
      <c r="Q25" s="136"/>
      <c r="R25" s="254"/>
      <c r="S25" s="255" t="s">
        <v>179</v>
      </c>
      <c r="T25" s="256" t="s">
        <v>180</v>
      </c>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row>
    <row r="26" spans="1:81" s="10" customFormat="1" x14ac:dyDescent="0.55000000000000004">
      <c r="A26" s="136"/>
      <c r="B26" s="251" t="s">
        <v>33</v>
      </c>
      <c r="C26" s="246"/>
      <c r="D26" s="257">
        <f>1-D25</f>
        <v>1</v>
      </c>
      <c r="E26" s="252"/>
      <c r="F26" s="246"/>
      <c r="G26" s="257">
        <f>1-G25</f>
        <v>1</v>
      </c>
      <c r="H26" s="252"/>
      <c r="I26" s="246"/>
      <c r="J26" s="257">
        <f>1-J25</f>
        <v>1</v>
      </c>
      <c r="K26" s="252"/>
      <c r="L26" s="246"/>
      <c r="M26" s="257">
        <f>1-M25</f>
        <v>1</v>
      </c>
      <c r="N26" s="253"/>
      <c r="O26" s="136"/>
      <c r="P26" s="136"/>
      <c r="Q26" s="136"/>
      <c r="R26" s="258" t="s">
        <v>176</v>
      </c>
      <c r="S26" s="259">
        <v>19.98</v>
      </c>
      <c r="T26" s="260">
        <v>18.670000000000002</v>
      </c>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row>
    <row r="27" spans="1:81" s="10" customFormat="1" x14ac:dyDescent="0.55000000000000004">
      <c r="A27" s="136"/>
      <c r="B27" s="251" t="s">
        <v>153</v>
      </c>
      <c r="C27" s="246"/>
      <c r="D27" s="261">
        <f>Inventory!O30</f>
        <v>0</v>
      </c>
      <c r="E27" s="262" t="s">
        <v>7</v>
      </c>
      <c r="F27" s="263"/>
      <c r="G27" s="261">
        <f>Inventory!O30</f>
        <v>0</v>
      </c>
      <c r="H27" s="262" t="s">
        <v>7</v>
      </c>
      <c r="I27" s="263"/>
      <c r="J27" s="261">
        <f>Inventory!O30</f>
        <v>0</v>
      </c>
      <c r="K27" s="262" t="s">
        <v>7</v>
      </c>
      <c r="L27" s="263"/>
      <c r="M27" s="261">
        <f>Inventory!O30</f>
        <v>0</v>
      </c>
      <c r="N27" s="253" t="s">
        <v>7</v>
      </c>
      <c r="O27" s="136"/>
      <c r="P27" s="136"/>
      <c r="Q27" s="136"/>
      <c r="R27" s="254" t="s">
        <v>162</v>
      </c>
      <c r="S27" s="264">
        <v>18.899999999999999</v>
      </c>
      <c r="T27" s="265">
        <v>17.489999999999998</v>
      </c>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row>
    <row r="28" spans="1:81" s="10" customFormat="1" x14ac:dyDescent="0.55000000000000004">
      <c r="A28" s="136"/>
      <c r="B28" s="251" t="s">
        <v>372</v>
      </c>
      <c r="C28" s="246"/>
      <c r="D28" s="266">
        <f>D27*D25</f>
        <v>0</v>
      </c>
      <c r="E28" s="262" t="s">
        <v>7</v>
      </c>
      <c r="F28" s="263"/>
      <c r="G28" s="266">
        <f>G27*G25</f>
        <v>0</v>
      </c>
      <c r="H28" s="262" t="s">
        <v>7</v>
      </c>
      <c r="I28" s="263"/>
      <c r="J28" s="266">
        <f>J27*J25</f>
        <v>0</v>
      </c>
      <c r="K28" s="262" t="s">
        <v>7</v>
      </c>
      <c r="L28" s="263"/>
      <c r="M28" s="266">
        <f>M27*M25</f>
        <v>0</v>
      </c>
      <c r="N28" s="253" t="s">
        <v>7</v>
      </c>
      <c r="O28" s="136"/>
      <c r="P28" s="136"/>
      <c r="Q28" s="136"/>
      <c r="R28" s="254" t="s">
        <v>177</v>
      </c>
      <c r="S28" s="264">
        <v>20.46</v>
      </c>
      <c r="T28" s="265">
        <v>18.690000000000001</v>
      </c>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row>
    <row r="29" spans="1:81" s="10" customFormat="1" x14ac:dyDescent="0.55000000000000004">
      <c r="A29" s="136"/>
      <c r="B29" s="251" t="s">
        <v>6</v>
      </c>
      <c r="C29" s="246"/>
      <c r="D29" s="266">
        <f>D27*D26</f>
        <v>0</v>
      </c>
      <c r="E29" s="262" t="s">
        <v>7</v>
      </c>
      <c r="F29" s="263"/>
      <c r="G29" s="266">
        <f>G27*G26</f>
        <v>0</v>
      </c>
      <c r="H29" s="262" t="s">
        <v>7</v>
      </c>
      <c r="I29" s="263"/>
      <c r="J29" s="266">
        <f>J27*J26</f>
        <v>0</v>
      </c>
      <c r="K29" s="262" t="s">
        <v>7</v>
      </c>
      <c r="L29" s="263"/>
      <c r="M29" s="266">
        <f>M27*M26</f>
        <v>0</v>
      </c>
      <c r="N29" s="253" t="s">
        <v>7</v>
      </c>
      <c r="O29" s="136"/>
      <c r="P29" s="136"/>
      <c r="Q29" s="136"/>
      <c r="R29" s="254" t="s">
        <v>178</v>
      </c>
      <c r="S29" s="264">
        <v>20.329999999999998</v>
      </c>
      <c r="T29" s="265">
        <v>19.02</v>
      </c>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row>
    <row r="30" spans="1:81" s="10" customFormat="1" x14ac:dyDescent="0.55000000000000004">
      <c r="A30" s="136"/>
      <c r="B30" s="267"/>
      <c r="C30" s="246"/>
      <c r="D30" s="140"/>
      <c r="E30" s="252"/>
      <c r="F30" s="246"/>
      <c r="G30" s="140"/>
      <c r="H30" s="252"/>
      <c r="I30" s="246"/>
      <c r="J30" s="140"/>
      <c r="K30" s="252"/>
      <c r="L30" s="246"/>
      <c r="M30" s="140"/>
      <c r="N30" s="253"/>
      <c r="O30" s="136"/>
      <c r="P30" s="136"/>
      <c r="Q30" s="136"/>
      <c r="R30" s="268" t="s">
        <v>444</v>
      </c>
      <c r="S30" s="264">
        <v>17.489999999999998</v>
      </c>
      <c r="T30" s="265">
        <v>19.399999999999999</v>
      </c>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row>
    <row r="31" spans="1:81" s="10" customFormat="1" x14ac:dyDescent="0.55000000000000004">
      <c r="A31" s="136"/>
      <c r="B31" s="251" t="s">
        <v>370</v>
      </c>
      <c r="C31" s="246"/>
      <c r="D31" s="78"/>
      <c r="E31" s="252" t="s">
        <v>128</v>
      </c>
      <c r="F31" s="246"/>
      <c r="G31" s="78"/>
      <c r="H31" s="252" t="s">
        <v>128</v>
      </c>
      <c r="I31" s="246"/>
      <c r="J31" s="78"/>
      <c r="K31" s="252" t="s">
        <v>128</v>
      </c>
      <c r="L31" s="246"/>
      <c r="M31" s="78"/>
      <c r="N31" s="253" t="s">
        <v>128</v>
      </c>
      <c r="O31" s="136"/>
      <c r="P31" s="136"/>
      <c r="Q31" s="136"/>
      <c r="R31" s="254" t="s">
        <v>448</v>
      </c>
      <c r="S31" s="269">
        <v>24.37</v>
      </c>
      <c r="T31" s="270">
        <v>22.6</v>
      </c>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row>
    <row r="32" spans="1:81" s="10" customFormat="1" x14ac:dyDescent="0.55000000000000004">
      <c r="A32" s="136"/>
      <c r="B32" s="251" t="s">
        <v>368</v>
      </c>
      <c r="C32" s="246"/>
      <c r="D32" s="78"/>
      <c r="E32" s="252" t="s">
        <v>128</v>
      </c>
      <c r="F32" s="246"/>
      <c r="G32" s="78"/>
      <c r="H32" s="252" t="s">
        <v>128</v>
      </c>
      <c r="I32" s="246"/>
      <c r="J32" s="78"/>
      <c r="K32" s="252" t="s">
        <v>128</v>
      </c>
      <c r="L32" s="246"/>
      <c r="M32" s="78"/>
      <c r="N32" s="253" t="s">
        <v>128</v>
      </c>
      <c r="O32" s="136"/>
      <c r="P32" s="136"/>
      <c r="Q32" s="136"/>
      <c r="R32" s="254" t="s">
        <v>447</v>
      </c>
      <c r="S32" s="264">
        <v>45.17</v>
      </c>
      <c r="T32" s="265">
        <v>42.61</v>
      </c>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row>
    <row r="33" spans="1:81" s="10" customFormat="1" x14ac:dyDescent="0.55000000000000004">
      <c r="A33" s="136"/>
      <c r="B33" s="251" t="s">
        <v>371</v>
      </c>
      <c r="C33" s="246"/>
      <c r="D33" s="78"/>
      <c r="E33" s="252" t="s">
        <v>128</v>
      </c>
      <c r="F33" s="246"/>
      <c r="G33" s="78"/>
      <c r="H33" s="252" t="s">
        <v>128</v>
      </c>
      <c r="I33" s="246"/>
      <c r="J33" s="78"/>
      <c r="K33" s="252" t="s">
        <v>128</v>
      </c>
      <c r="L33" s="246"/>
      <c r="M33" s="78"/>
      <c r="N33" s="253" t="s">
        <v>128</v>
      </c>
      <c r="O33" s="136"/>
      <c r="P33" s="136"/>
      <c r="Q33" s="136"/>
      <c r="R33" s="254" t="s">
        <v>445</v>
      </c>
      <c r="S33" s="264">
        <v>22.83</v>
      </c>
      <c r="T33" s="265">
        <v>21.07</v>
      </c>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row>
    <row r="34" spans="1:81" s="10" customFormat="1" x14ac:dyDescent="0.55000000000000004">
      <c r="A34" s="136"/>
      <c r="B34" s="271" t="s">
        <v>369</v>
      </c>
      <c r="C34" s="246"/>
      <c r="D34" s="78"/>
      <c r="E34" s="252" t="s">
        <v>128</v>
      </c>
      <c r="F34" s="246"/>
      <c r="G34" s="78"/>
      <c r="H34" s="252" t="s">
        <v>128</v>
      </c>
      <c r="I34" s="246"/>
      <c r="J34" s="78"/>
      <c r="K34" s="252" t="s">
        <v>128</v>
      </c>
      <c r="L34" s="246"/>
      <c r="M34" s="78"/>
      <c r="N34" s="253" t="s">
        <v>128</v>
      </c>
      <c r="O34" s="136"/>
      <c r="P34" s="136"/>
      <c r="Q34" s="136"/>
      <c r="R34" s="254" t="s">
        <v>449</v>
      </c>
      <c r="S34" s="269">
        <v>23.33</v>
      </c>
      <c r="T34" s="270">
        <v>21.4</v>
      </c>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row>
    <row r="35" spans="1:81" x14ac:dyDescent="0.55000000000000004">
      <c r="B35" s="245"/>
      <c r="C35" s="246"/>
      <c r="D35" s="246"/>
      <c r="E35" s="246"/>
      <c r="F35" s="246"/>
      <c r="G35" s="246"/>
      <c r="H35" s="246"/>
      <c r="I35" s="246"/>
      <c r="J35" s="246"/>
      <c r="K35" s="246"/>
      <c r="L35" s="246"/>
      <c r="M35" s="246"/>
      <c r="N35" s="272"/>
      <c r="R35" s="254" t="s">
        <v>446</v>
      </c>
      <c r="S35" s="264">
        <v>45.14</v>
      </c>
      <c r="T35" s="265">
        <v>42.59</v>
      </c>
    </row>
    <row r="36" spans="1:81" x14ac:dyDescent="0.55000000000000004">
      <c r="B36" s="245"/>
      <c r="C36" s="246"/>
      <c r="D36" s="246"/>
      <c r="E36" s="246"/>
      <c r="F36" s="246"/>
      <c r="G36" s="246"/>
      <c r="H36" s="246"/>
      <c r="I36" s="246"/>
      <c r="J36" s="246"/>
      <c r="K36" s="246"/>
      <c r="L36" s="246"/>
      <c r="M36" s="246"/>
      <c r="N36" s="272"/>
      <c r="R36" s="254" t="s">
        <v>451</v>
      </c>
      <c r="S36" s="264">
        <v>32.36</v>
      </c>
      <c r="T36" s="265">
        <v>30.66</v>
      </c>
    </row>
    <row r="37" spans="1:81" x14ac:dyDescent="0.55000000000000004">
      <c r="B37" s="245"/>
      <c r="C37" s="246"/>
      <c r="D37" s="273" t="s">
        <v>34</v>
      </c>
      <c r="E37" s="274"/>
      <c r="F37" s="246"/>
      <c r="G37" s="275" t="s">
        <v>21</v>
      </c>
      <c r="H37" s="275"/>
      <c r="I37" s="246"/>
      <c r="J37" s="275" t="s">
        <v>23</v>
      </c>
      <c r="K37" s="275"/>
      <c r="L37" s="246"/>
      <c r="M37" s="275" t="s">
        <v>22</v>
      </c>
      <c r="N37" s="276"/>
      <c r="R37" s="254" t="s">
        <v>450</v>
      </c>
      <c r="S37" s="264">
        <v>47.31</v>
      </c>
      <c r="T37" s="265">
        <v>44.34</v>
      </c>
    </row>
    <row r="38" spans="1:81" x14ac:dyDescent="0.55000000000000004">
      <c r="B38" s="245"/>
      <c r="C38" s="246"/>
      <c r="D38" s="277" t="str">
        <f>GCT!D26*100&amp;" % VGO + "&amp;GCT!D25*100&amp;" % bio-oil"</f>
        <v>100 % VGO + 0 % bio-oil</v>
      </c>
      <c r="E38" s="277"/>
      <c r="F38" s="246"/>
      <c r="G38" s="275" t="str">
        <f>GCT!G26*100&amp;" % VGO + "&amp;GCT!G25*100&amp;" % bio-oil"</f>
        <v>100 % VGO + 0 % bio-oil</v>
      </c>
      <c r="H38" s="275"/>
      <c r="I38" s="246"/>
      <c r="J38" s="275" t="str">
        <f>GCT!J26*100&amp;" % VGO + "&amp;GCT!J25*100&amp;" % bio-oil"</f>
        <v>100 % VGO + 0 % bio-oil</v>
      </c>
      <c r="K38" s="275"/>
      <c r="L38" s="246"/>
      <c r="M38" s="275" t="str">
        <f>GCT!M26*100&amp;" % VGO + "&amp;GCT!M25*100&amp;" % bio-oil"</f>
        <v>100 % VGO + 0 % bio-oil</v>
      </c>
      <c r="N38" s="276"/>
      <c r="R38" s="254" t="s">
        <v>452</v>
      </c>
      <c r="S38" s="264">
        <v>38.326624191120658</v>
      </c>
      <c r="T38" s="265">
        <v>36.069086771633948</v>
      </c>
    </row>
    <row r="39" spans="1:81" x14ac:dyDescent="0.55000000000000004">
      <c r="B39" s="245"/>
      <c r="C39" s="246"/>
      <c r="D39" s="252" t="s">
        <v>0</v>
      </c>
      <c r="E39" s="252" t="s">
        <v>1</v>
      </c>
      <c r="F39" s="246"/>
      <c r="G39" s="252" t="s">
        <v>0</v>
      </c>
      <c r="H39" s="252" t="s">
        <v>1</v>
      </c>
      <c r="I39" s="246"/>
      <c r="J39" s="252" t="s">
        <v>0</v>
      </c>
      <c r="K39" s="252" t="s">
        <v>1</v>
      </c>
      <c r="L39" s="246"/>
      <c r="M39" s="252" t="s">
        <v>0</v>
      </c>
      <c r="N39" s="253" t="s">
        <v>1</v>
      </c>
      <c r="R39" s="278" t="s">
        <v>453</v>
      </c>
      <c r="S39" s="264">
        <v>47.09152411316262</v>
      </c>
      <c r="T39" s="265">
        <v>44.388645778721511</v>
      </c>
    </row>
    <row r="40" spans="1:81" x14ac:dyDescent="0.55000000000000004">
      <c r="B40" s="251" t="str">
        <f>Inventory!C23</f>
        <v>Refinery product 1 (main)</v>
      </c>
      <c r="C40" s="246"/>
      <c r="D40" s="82"/>
      <c r="E40" s="279">
        <f>D40*GCT!$D$27</f>
        <v>0</v>
      </c>
      <c r="F40" s="246"/>
      <c r="G40" s="83"/>
      <c r="H40" s="279">
        <f>G40*GCT!$D$27</f>
        <v>0</v>
      </c>
      <c r="I40" s="246"/>
      <c r="J40" s="82"/>
      <c r="K40" s="279">
        <f>J40*GCT!$D$27</f>
        <v>0</v>
      </c>
      <c r="L40" s="246"/>
      <c r="M40" s="82"/>
      <c r="N40" s="280">
        <f>M40*GCT!$D$27</f>
        <v>0</v>
      </c>
      <c r="R40" s="254" t="s">
        <v>166</v>
      </c>
      <c r="S40" s="264">
        <v>46.97</v>
      </c>
      <c r="T40" s="265">
        <v>42.82</v>
      </c>
    </row>
    <row r="41" spans="1:81" ht="14.7" thickBot="1" x14ac:dyDescent="0.6">
      <c r="B41" s="251" t="str">
        <f>Inventory!C24</f>
        <v>Refinery product 2</v>
      </c>
      <c r="C41" s="246"/>
      <c r="D41" s="82"/>
      <c r="E41" s="279">
        <f>D41*GCT!$D$27</f>
        <v>0</v>
      </c>
      <c r="F41" s="246"/>
      <c r="G41" s="83"/>
      <c r="H41" s="279">
        <f>G41*GCT!$D$27</f>
        <v>0</v>
      </c>
      <c r="I41" s="246"/>
      <c r="J41" s="82"/>
      <c r="K41" s="279">
        <f>J41*GCT!$D$27</f>
        <v>0</v>
      </c>
      <c r="L41" s="246"/>
      <c r="M41" s="82"/>
      <c r="N41" s="280">
        <f>M41*GCT!$D$27</f>
        <v>0</v>
      </c>
      <c r="R41" s="281" t="s">
        <v>160</v>
      </c>
      <c r="S41" s="282">
        <v>46.37</v>
      </c>
      <c r="T41" s="283">
        <v>44.15</v>
      </c>
    </row>
    <row r="42" spans="1:81" x14ac:dyDescent="0.55000000000000004">
      <c r="B42" s="251" t="str">
        <f>Inventory!C25</f>
        <v>Refinery product 3</v>
      </c>
      <c r="C42" s="246"/>
      <c r="D42" s="82"/>
      <c r="E42" s="279">
        <f>D42*GCT!$D$27</f>
        <v>0</v>
      </c>
      <c r="F42" s="246"/>
      <c r="G42" s="83"/>
      <c r="H42" s="279">
        <f>G42*GCT!$D$27</f>
        <v>0</v>
      </c>
      <c r="I42" s="246"/>
      <c r="J42" s="82"/>
      <c r="K42" s="279">
        <f>J42*GCT!$D$27</f>
        <v>0</v>
      </c>
      <c r="L42" s="246"/>
      <c r="M42" s="82"/>
      <c r="N42" s="280">
        <f>M42*GCT!$D$27</f>
        <v>0</v>
      </c>
    </row>
    <row r="43" spans="1:81" x14ac:dyDescent="0.55000000000000004">
      <c r="B43" s="251" t="str">
        <f>Inventory!C26</f>
        <v>Refinery product 4</v>
      </c>
      <c r="C43" s="246"/>
      <c r="D43" s="82"/>
      <c r="E43" s="279">
        <f>D43*GCT!$D$27</f>
        <v>0</v>
      </c>
      <c r="F43" s="246"/>
      <c r="G43" s="83"/>
      <c r="H43" s="279">
        <f>G43*GCT!$D$27</f>
        <v>0</v>
      </c>
      <c r="I43" s="246"/>
      <c r="J43" s="82"/>
      <c r="K43" s="279">
        <f>J43*GCT!$D$27</f>
        <v>0</v>
      </c>
      <c r="L43" s="246"/>
      <c r="M43" s="82"/>
      <c r="N43" s="280">
        <f>M43*GCT!$D$27</f>
        <v>0</v>
      </c>
    </row>
    <row r="44" spans="1:81" x14ac:dyDescent="0.55000000000000004">
      <c r="B44" s="251" t="str">
        <f>Inventory!C27</f>
        <v>Refinery product 5</v>
      </c>
      <c r="C44" s="246"/>
      <c r="D44" s="82"/>
      <c r="E44" s="279">
        <f>D44*GCT!$D$27</f>
        <v>0</v>
      </c>
      <c r="F44" s="246"/>
      <c r="G44" s="83"/>
      <c r="H44" s="279">
        <f>G44*GCT!$D$27</f>
        <v>0</v>
      </c>
      <c r="I44" s="246"/>
      <c r="J44" s="82"/>
      <c r="K44" s="279">
        <f>J44*GCT!$D$27</f>
        <v>0</v>
      </c>
      <c r="L44" s="246"/>
      <c r="M44" s="82"/>
      <c r="N44" s="280">
        <f>M44*GCT!$D$27</f>
        <v>0</v>
      </c>
    </row>
    <row r="45" spans="1:81" x14ac:dyDescent="0.55000000000000004">
      <c r="B45" s="251" t="str">
        <f>Inventory!C28</f>
        <v>Refinery product 6</v>
      </c>
      <c r="C45" s="246"/>
      <c r="D45" s="82"/>
      <c r="E45" s="279">
        <f>D45*GCT!$D$27</f>
        <v>0</v>
      </c>
      <c r="F45" s="246"/>
      <c r="G45" s="83"/>
      <c r="H45" s="279">
        <f>G45*GCT!$D$27</f>
        <v>0</v>
      </c>
      <c r="I45" s="246"/>
      <c r="J45" s="82"/>
      <c r="K45" s="279">
        <f>J45*GCT!$D$27</f>
        <v>0</v>
      </c>
      <c r="L45" s="246"/>
      <c r="M45" s="82"/>
      <c r="N45" s="280">
        <f>M45*GCT!$D$27</f>
        <v>0</v>
      </c>
    </row>
    <row r="46" spans="1:81" x14ac:dyDescent="0.55000000000000004">
      <c r="B46" s="251" t="str">
        <f>Inventory!C29</f>
        <v>Refinery product 7</v>
      </c>
      <c r="C46" s="246"/>
      <c r="D46" s="82"/>
      <c r="E46" s="279">
        <f>D46*GCT!$D$27</f>
        <v>0</v>
      </c>
      <c r="F46" s="246"/>
      <c r="G46" s="83"/>
      <c r="H46" s="279">
        <f>G46*GCT!$D$27</f>
        <v>0</v>
      </c>
      <c r="I46" s="246"/>
      <c r="J46" s="82"/>
      <c r="K46" s="279">
        <f>J46*GCT!$D$27</f>
        <v>0</v>
      </c>
      <c r="L46" s="246"/>
      <c r="M46" s="82"/>
      <c r="N46" s="280">
        <f>M46*GCT!$D$27</f>
        <v>0</v>
      </c>
    </row>
    <row r="47" spans="1:81" x14ac:dyDescent="0.55000000000000004">
      <c r="B47" s="245"/>
      <c r="C47" s="246"/>
      <c r="D47" s="246"/>
      <c r="E47" s="263"/>
      <c r="F47" s="246"/>
      <c r="G47" s="246"/>
      <c r="H47" s="263"/>
      <c r="I47" s="246"/>
      <c r="J47" s="246"/>
      <c r="K47" s="263"/>
      <c r="L47" s="246"/>
      <c r="M47" s="246"/>
      <c r="N47" s="284"/>
    </row>
    <row r="48" spans="1:81" x14ac:dyDescent="0.55000000000000004">
      <c r="B48" s="245"/>
      <c r="C48" s="246"/>
      <c r="D48" s="246"/>
      <c r="E48" s="263"/>
      <c r="F48" s="246"/>
      <c r="G48" s="246"/>
      <c r="H48" s="263"/>
      <c r="I48" s="246"/>
      <c r="J48" s="246"/>
      <c r="K48" s="263"/>
      <c r="L48" s="246"/>
      <c r="M48" s="246"/>
      <c r="N48" s="284"/>
    </row>
    <row r="49" spans="2:14" x14ac:dyDescent="0.55000000000000004">
      <c r="B49" s="251" t="s">
        <v>2</v>
      </c>
      <c r="C49" s="246"/>
      <c r="D49" s="285">
        <f>SUM(D40:D46)</f>
        <v>0</v>
      </c>
      <c r="E49" s="286">
        <f>SUM(E40:E46)</f>
        <v>0</v>
      </c>
      <c r="F49" s="246"/>
      <c r="G49" s="285">
        <f>SUM(G40:G46)</f>
        <v>0</v>
      </c>
      <c r="H49" s="286">
        <f>SUM(H40:H46)</f>
        <v>0</v>
      </c>
      <c r="I49" s="246"/>
      <c r="J49" s="285">
        <f>SUM(J40:J46)</f>
        <v>0</v>
      </c>
      <c r="K49" s="286">
        <f>SUM(K40:K46)</f>
        <v>0</v>
      </c>
      <c r="L49" s="246"/>
      <c r="M49" s="285">
        <f>SUM(M40:M46)</f>
        <v>0</v>
      </c>
      <c r="N49" s="287">
        <f>SUM(N40:N46)</f>
        <v>0</v>
      </c>
    </row>
    <row r="50" spans="2:14" x14ac:dyDescent="0.55000000000000004">
      <c r="B50" s="245"/>
      <c r="C50" s="246"/>
      <c r="D50" s="246"/>
      <c r="E50" s="246"/>
      <c r="F50" s="246"/>
      <c r="G50" s="246"/>
      <c r="H50" s="246"/>
      <c r="I50" s="246"/>
      <c r="J50" s="246"/>
      <c r="K50" s="246"/>
      <c r="L50" s="246"/>
      <c r="M50" s="246"/>
      <c r="N50" s="272"/>
    </row>
    <row r="51" spans="2:14" x14ac:dyDescent="0.55000000000000004">
      <c r="B51" s="245"/>
      <c r="C51" s="246"/>
      <c r="D51" s="246"/>
      <c r="E51" s="246"/>
      <c r="F51" s="246"/>
      <c r="G51" s="246"/>
      <c r="H51" s="246"/>
      <c r="I51" s="246"/>
      <c r="J51" s="246"/>
      <c r="K51" s="246"/>
      <c r="L51" s="246"/>
      <c r="M51" s="246"/>
      <c r="N51" s="272"/>
    </row>
    <row r="52" spans="2:14" x14ac:dyDescent="0.55000000000000004">
      <c r="B52" s="245"/>
      <c r="C52" s="246"/>
      <c r="D52" s="246"/>
      <c r="E52" s="246"/>
      <c r="F52" s="246"/>
      <c r="G52" s="246"/>
      <c r="H52" s="246"/>
      <c r="I52" s="246"/>
      <c r="J52" s="246"/>
      <c r="K52" s="246"/>
      <c r="L52" s="246"/>
      <c r="M52" s="246"/>
      <c r="N52" s="272"/>
    </row>
    <row r="53" spans="2:14" x14ac:dyDescent="0.55000000000000004">
      <c r="B53" s="245"/>
      <c r="C53" s="246"/>
      <c r="D53" s="246"/>
      <c r="E53" s="246"/>
      <c r="F53" s="246"/>
      <c r="G53" s="246"/>
      <c r="H53" s="246"/>
      <c r="I53" s="246"/>
      <c r="J53" s="246"/>
      <c r="K53" s="246"/>
      <c r="L53" s="246"/>
      <c r="M53" s="246"/>
      <c r="N53" s="272"/>
    </row>
    <row r="54" spans="2:14" x14ac:dyDescent="0.55000000000000004">
      <c r="B54" s="251" t="s">
        <v>35</v>
      </c>
      <c r="C54" s="246"/>
      <c r="D54" s="137"/>
      <c r="E54" s="137"/>
      <c r="F54" s="246"/>
      <c r="G54" s="78"/>
      <c r="H54" s="252" t="s">
        <v>7</v>
      </c>
      <c r="I54" s="246"/>
      <c r="J54" s="78"/>
      <c r="K54" s="252" t="s">
        <v>7</v>
      </c>
      <c r="L54" s="246"/>
      <c r="M54" s="78"/>
      <c r="N54" s="253" t="s">
        <v>7</v>
      </c>
    </row>
    <row r="55" spans="2:14" x14ac:dyDescent="0.55000000000000004">
      <c r="B55" s="251" t="s">
        <v>40</v>
      </c>
      <c r="C55" s="246"/>
      <c r="D55" s="137"/>
      <c r="E55" s="137"/>
      <c r="F55" s="246"/>
      <c r="G55" s="78"/>
      <c r="H55" s="252" t="s">
        <v>7</v>
      </c>
      <c r="I55" s="246"/>
      <c r="J55" s="78"/>
      <c r="K55" s="252" t="s">
        <v>7</v>
      </c>
      <c r="L55" s="246"/>
      <c r="M55" s="78"/>
      <c r="N55" s="253" t="s">
        <v>7</v>
      </c>
    </row>
    <row r="56" spans="2:14" x14ac:dyDescent="0.55000000000000004">
      <c r="B56" s="251" t="s">
        <v>41</v>
      </c>
      <c r="C56" s="246"/>
      <c r="D56" s="137"/>
      <c r="E56" s="137"/>
      <c r="F56" s="246"/>
      <c r="G56" s="78"/>
      <c r="H56" s="252" t="s">
        <v>7</v>
      </c>
      <c r="I56" s="246"/>
      <c r="J56" s="78"/>
      <c r="K56" s="252" t="s">
        <v>7</v>
      </c>
      <c r="L56" s="246"/>
      <c r="M56" s="78"/>
      <c r="N56" s="253" t="s">
        <v>7</v>
      </c>
    </row>
    <row r="57" spans="2:14" x14ac:dyDescent="0.55000000000000004">
      <c r="B57" s="251" t="s">
        <v>18</v>
      </c>
      <c r="C57" s="246"/>
      <c r="D57" s="137"/>
      <c r="E57" s="137"/>
      <c r="F57" s="246"/>
      <c r="G57" s="78"/>
      <c r="H57" s="252" t="s">
        <v>7</v>
      </c>
      <c r="I57" s="246"/>
      <c r="J57" s="78"/>
      <c r="K57" s="252" t="s">
        <v>7</v>
      </c>
      <c r="L57" s="246"/>
      <c r="M57" s="78"/>
      <c r="N57" s="253" t="s">
        <v>7</v>
      </c>
    </row>
    <row r="58" spans="2:14" x14ac:dyDescent="0.55000000000000004">
      <c r="B58" s="251" t="s">
        <v>19</v>
      </c>
      <c r="C58" s="246"/>
      <c r="D58" s="137"/>
      <c r="E58" s="137"/>
      <c r="F58" s="246"/>
      <c r="G58" s="288">
        <f>G55*12/44.01</f>
        <v>0</v>
      </c>
      <c r="H58" s="289" t="s">
        <v>7</v>
      </c>
      <c r="I58" s="290"/>
      <c r="J58" s="288">
        <f>J55*12/44.01</f>
        <v>0</v>
      </c>
      <c r="K58" s="289" t="s">
        <v>7</v>
      </c>
      <c r="L58" s="290"/>
      <c r="M58" s="288">
        <f>M55*12/44.01</f>
        <v>0</v>
      </c>
      <c r="N58" s="253" t="s">
        <v>7</v>
      </c>
    </row>
    <row r="59" spans="2:14" ht="14.7" thickBot="1" x14ac:dyDescent="0.6">
      <c r="B59" s="291" t="s">
        <v>20</v>
      </c>
      <c r="C59" s="292"/>
      <c r="D59" s="293"/>
      <c r="E59" s="293"/>
      <c r="F59" s="292"/>
      <c r="G59" s="294">
        <f>G56*12/44.01</f>
        <v>0</v>
      </c>
      <c r="H59" s="295" t="s">
        <v>7</v>
      </c>
      <c r="I59" s="296"/>
      <c r="J59" s="294">
        <f>J56*12/44.01</f>
        <v>0</v>
      </c>
      <c r="K59" s="295" t="s">
        <v>7</v>
      </c>
      <c r="L59" s="296"/>
      <c r="M59" s="294">
        <f>M56*12/44.01</f>
        <v>0</v>
      </c>
      <c r="N59" s="297" t="s">
        <v>7</v>
      </c>
    </row>
    <row r="62" spans="2:14" ht="14.7" thickBot="1" x14ac:dyDescent="0.6"/>
    <row r="63" spans="2:14" ht="18.3" x14ac:dyDescent="0.7">
      <c r="B63" s="298" t="s">
        <v>37</v>
      </c>
      <c r="C63" s="299"/>
      <c r="D63" s="299"/>
      <c r="E63" s="299"/>
      <c r="F63" s="299"/>
      <c r="G63" s="299"/>
      <c r="H63" s="299"/>
      <c r="I63" s="299"/>
      <c r="J63" s="299"/>
      <c r="K63" s="300"/>
    </row>
    <row r="64" spans="2:14" x14ac:dyDescent="0.55000000000000004">
      <c r="B64" s="135"/>
      <c r="C64" s="137"/>
      <c r="D64" s="137"/>
      <c r="E64" s="137"/>
      <c r="F64" s="137"/>
      <c r="G64" s="137"/>
      <c r="H64" s="137"/>
      <c r="I64" s="137"/>
      <c r="J64" s="137"/>
      <c r="K64" s="148"/>
    </row>
    <row r="65" spans="2:11" x14ac:dyDescent="0.55000000000000004">
      <c r="B65" s="135"/>
      <c r="C65" s="301" t="s">
        <v>16</v>
      </c>
      <c r="D65" s="301"/>
      <c r="E65" s="301"/>
      <c r="F65" s="301"/>
      <c r="G65" s="301"/>
      <c r="H65" s="301"/>
      <c r="I65" s="137"/>
      <c r="J65" s="137"/>
      <c r="K65" s="148"/>
    </row>
    <row r="66" spans="2:11" x14ac:dyDescent="0.55000000000000004">
      <c r="B66" s="135"/>
      <c r="C66" s="302"/>
      <c r="D66" s="302" t="s">
        <v>21</v>
      </c>
      <c r="E66" s="175"/>
      <c r="F66" s="302" t="s">
        <v>24</v>
      </c>
      <c r="G66" s="175"/>
      <c r="H66" s="302" t="s">
        <v>25</v>
      </c>
      <c r="I66" s="137"/>
      <c r="J66" s="137"/>
      <c r="K66" s="148"/>
    </row>
    <row r="67" spans="2:11" x14ac:dyDescent="0.55000000000000004">
      <c r="B67" s="135"/>
      <c r="C67" s="140" t="s">
        <v>17</v>
      </c>
      <c r="D67" s="303" t="e" cm="1">
        <f t="array" ref="D67">SUM(D74:D80)/SUM((IF(D74:D80&gt;0,D74:D80,0)))</f>
        <v>#NAME?</v>
      </c>
      <c r="E67" s="177"/>
      <c r="F67" s="304" t="e" cm="1">
        <f t="array" ref="F67">SUM(G74:G80)/SUM((IF(G74:G80&gt;0,G74:G80,0)))</f>
        <v>#NAME?</v>
      </c>
      <c r="G67" s="177"/>
      <c r="H67" s="304" t="e" cm="1">
        <f t="array" ref="H67">SUM(J74:J80)/SUM((IF(J74:J80&gt;0,J74:J80,0)))</f>
        <v>#NAME?</v>
      </c>
      <c r="I67" s="137"/>
      <c r="J67" s="137"/>
      <c r="K67" s="148"/>
    </row>
    <row r="68" spans="2:11" x14ac:dyDescent="0.55000000000000004">
      <c r="B68" s="135"/>
      <c r="C68" s="137"/>
      <c r="D68" s="137"/>
      <c r="E68" s="137"/>
      <c r="F68" s="137"/>
      <c r="G68" s="137"/>
      <c r="H68" s="137"/>
      <c r="I68" s="137"/>
      <c r="J68" s="137"/>
      <c r="K68" s="148"/>
    </row>
    <row r="69" spans="2:11" x14ac:dyDescent="0.55000000000000004">
      <c r="B69" s="135"/>
      <c r="C69" s="137"/>
      <c r="D69" s="137"/>
      <c r="E69" s="137"/>
      <c r="F69" s="137"/>
      <c r="G69" s="137"/>
      <c r="H69" s="137"/>
      <c r="I69" s="137"/>
      <c r="J69" s="137"/>
      <c r="K69" s="148"/>
    </row>
    <row r="70" spans="2:11" x14ac:dyDescent="0.55000000000000004">
      <c r="B70" s="135"/>
      <c r="C70" s="137"/>
      <c r="D70" s="137"/>
      <c r="E70" s="137"/>
      <c r="F70" s="137"/>
      <c r="G70" s="137"/>
      <c r="H70" s="137"/>
      <c r="I70" s="137"/>
      <c r="J70" s="137"/>
      <c r="K70" s="148"/>
    </row>
    <row r="71" spans="2:11" x14ac:dyDescent="0.55000000000000004">
      <c r="B71" s="305" t="s">
        <v>14</v>
      </c>
      <c r="C71" s="306"/>
      <c r="D71" s="306"/>
      <c r="E71" s="306"/>
      <c r="F71" s="306"/>
      <c r="G71" s="306"/>
      <c r="H71" s="306"/>
      <c r="I71" s="306"/>
      <c r="J71" s="306"/>
      <c r="K71" s="307"/>
    </row>
    <row r="72" spans="2:11" x14ac:dyDescent="0.55000000000000004">
      <c r="B72" s="135"/>
      <c r="C72" s="308"/>
      <c r="D72" s="309" t="s">
        <v>26</v>
      </c>
      <c r="E72" s="308"/>
      <c r="F72" s="308"/>
      <c r="G72" s="309" t="s">
        <v>27</v>
      </c>
      <c r="H72" s="308"/>
      <c r="I72" s="308"/>
      <c r="J72" s="309" t="s">
        <v>28</v>
      </c>
      <c r="K72" s="148"/>
    </row>
    <row r="73" spans="2:11" x14ac:dyDescent="0.55000000000000004">
      <c r="B73" s="135"/>
      <c r="C73" s="308"/>
      <c r="D73" s="310"/>
      <c r="E73" s="308"/>
      <c r="F73" s="308"/>
      <c r="G73" s="310"/>
      <c r="H73" s="308"/>
      <c r="I73" s="308"/>
      <c r="J73" s="310"/>
      <c r="K73" s="148"/>
    </row>
    <row r="74" spans="2:11" x14ac:dyDescent="0.55000000000000004">
      <c r="B74" s="311" t="str">
        <f>GCT!B40</f>
        <v>Refinery product 1 (main)</v>
      </c>
      <c r="C74" s="312"/>
      <c r="D74" s="313" t="e" cm="1">
        <f t="array" ref="D74">IF(G40&gt;0,GCT!G40-D40,NA)</f>
        <v>#NAME?</v>
      </c>
      <c r="E74" s="314"/>
      <c r="F74" s="315"/>
      <c r="G74" s="316" t="e" cm="1">
        <f t="array" ref="G74">IF(J40&gt;0,GCT!J40-GCT!D40,NA)</f>
        <v>#NAME?</v>
      </c>
      <c r="H74" s="314"/>
      <c r="I74" s="315"/>
      <c r="J74" s="317" t="e" cm="1">
        <f t="array" ref="J74">IF(M40&gt;0,GCT!M40-GCT!G40,NA)</f>
        <v>#NAME?</v>
      </c>
      <c r="K74" s="148"/>
    </row>
    <row r="75" spans="2:11" x14ac:dyDescent="0.55000000000000004">
      <c r="B75" s="311" t="str">
        <f>GCT!B41</f>
        <v>Refinery product 2</v>
      </c>
      <c r="C75" s="312"/>
      <c r="D75" s="318" t="e" cm="1">
        <f t="array" ref="D75">IF(G41&gt;0,GCT!G41-D41,NA)</f>
        <v>#NAME?</v>
      </c>
      <c r="E75" s="319"/>
      <c r="F75" s="319"/>
      <c r="G75" s="318" t="e" cm="1">
        <f t="array" ref="G75">IF(J41&gt;0,GCT!J41-GCT!D41,NA)</f>
        <v>#NAME?</v>
      </c>
      <c r="H75" s="319"/>
      <c r="I75" s="319"/>
      <c r="J75" s="318" t="e" cm="1">
        <f t="array" ref="J75">IF(M41&gt;0,GCT!M41-GCT!G41,NA)</f>
        <v>#NAME?</v>
      </c>
      <c r="K75" s="148"/>
    </row>
    <row r="76" spans="2:11" x14ac:dyDescent="0.55000000000000004">
      <c r="B76" s="311" t="str">
        <f>GCT!B42</f>
        <v>Refinery product 3</v>
      </c>
      <c r="C76" s="312"/>
      <c r="D76" s="318" t="e" cm="1">
        <f t="array" ref="D76">IF(G42&gt;0,GCT!G42-D42,NA)</f>
        <v>#NAME?</v>
      </c>
      <c r="E76" s="319"/>
      <c r="F76" s="319"/>
      <c r="G76" s="318" t="e" cm="1">
        <f t="array" ref="G76">IF(J42&gt;0,GCT!J42-GCT!D42,NA)</f>
        <v>#NAME?</v>
      </c>
      <c r="H76" s="319"/>
      <c r="I76" s="319"/>
      <c r="J76" s="318" t="e" cm="1">
        <f t="array" ref="J76">IF(M42&gt;0,GCT!M42-GCT!G42,NA)</f>
        <v>#NAME?</v>
      </c>
      <c r="K76" s="148"/>
    </row>
    <row r="77" spans="2:11" x14ac:dyDescent="0.55000000000000004">
      <c r="B77" s="311" t="str">
        <f>GCT!B43</f>
        <v>Refinery product 4</v>
      </c>
      <c r="C77" s="312"/>
      <c r="D77" s="318" t="e" cm="1">
        <f t="array" ref="D77">IF(G43&gt;0,GCT!G43-D43,NA)</f>
        <v>#NAME?</v>
      </c>
      <c r="E77" s="319"/>
      <c r="F77" s="319"/>
      <c r="G77" s="318" t="e" cm="1">
        <f t="array" ref="G77">IF(J43&gt;0,GCT!J43-GCT!D43,NA)</f>
        <v>#NAME?</v>
      </c>
      <c r="H77" s="319"/>
      <c r="I77" s="319"/>
      <c r="J77" s="318" t="e" cm="1">
        <f t="array" ref="J77">IF(M43&gt;0,GCT!M43-GCT!G43,NA)</f>
        <v>#NAME?</v>
      </c>
      <c r="K77" s="148"/>
    </row>
    <row r="78" spans="2:11" x14ac:dyDescent="0.55000000000000004">
      <c r="B78" s="311" t="str">
        <f>GCT!B44</f>
        <v>Refinery product 5</v>
      </c>
      <c r="C78" s="312"/>
      <c r="D78" s="318" t="e" cm="1">
        <f t="array" ref="D78">IF(G44&gt;0,GCT!G44-D44,NA)</f>
        <v>#NAME?</v>
      </c>
      <c r="E78" s="319"/>
      <c r="F78" s="319"/>
      <c r="G78" s="318" t="e" cm="1">
        <f t="array" ref="G78">IF(J44&gt;0,GCT!J44-GCT!D44,NA)</f>
        <v>#NAME?</v>
      </c>
      <c r="H78" s="319"/>
      <c r="I78" s="319"/>
      <c r="J78" s="318" t="e" cm="1">
        <f t="array" ref="J78">IF(M44&gt;0,GCT!M44-GCT!G44,NA)</f>
        <v>#NAME?</v>
      </c>
      <c r="K78" s="148"/>
    </row>
    <row r="79" spans="2:11" x14ac:dyDescent="0.55000000000000004">
      <c r="B79" s="311" t="str">
        <f>GCT!B45</f>
        <v>Refinery product 6</v>
      </c>
      <c r="C79" s="312"/>
      <c r="D79" s="318" t="e" cm="1">
        <f t="array" ref="D79">IF(G45&gt;0,GCT!G45-D45,NA)</f>
        <v>#NAME?</v>
      </c>
      <c r="E79" s="319"/>
      <c r="F79" s="319"/>
      <c r="G79" s="318" t="e" cm="1">
        <f t="array" ref="G79">IF(J45&gt;0,GCT!J45-GCT!D45,NA)</f>
        <v>#NAME?</v>
      </c>
      <c r="H79" s="319"/>
      <c r="I79" s="319"/>
      <c r="J79" s="318" t="e" cm="1">
        <f t="array" ref="J79">IF(M45&gt;0,GCT!M45-GCT!G45,NA)</f>
        <v>#NAME?</v>
      </c>
      <c r="K79" s="148"/>
    </row>
    <row r="80" spans="2:11" x14ac:dyDescent="0.55000000000000004">
      <c r="B80" s="145" t="str">
        <f>GCT!B46</f>
        <v>Refinery product 7</v>
      </c>
      <c r="C80" s="320"/>
      <c r="D80" s="318" t="e" cm="1">
        <f t="array" ref="D80">IF(G46&gt;0,GCT!G46-D46,NA)</f>
        <v>#NAME?</v>
      </c>
      <c r="E80" s="321"/>
      <c r="F80" s="321"/>
      <c r="G80" s="318" t="e" cm="1">
        <f t="array" ref="G80">IF(J46&gt;0,GCT!J46-GCT!D46,NA)</f>
        <v>#NAME?</v>
      </c>
      <c r="H80" s="321"/>
      <c r="I80" s="321"/>
      <c r="J80" s="318" t="e" cm="1">
        <f t="array" ref="J80">IF(M46&gt;0,GCT!M46-GCT!G46,NA)</f>
        <v>#NAME?</v>
      </c>
      <c r="K80" s="148"/>
    </row>
    <row r="81" spans="1:81" x14ac:dyDescent="0.55000000000000004">
      <c r="B81" s="135"/>
      <c r="C81" s="312"/>
      <c r="D81" s="322"/>
      <c r="E81" s="312"/>
      <c r="F81" s="312"/>
      <c r="G81" s="322"/>
      <c r="H81" s="312"/>
      <c r="I81" s="312"/>
      <c r="J81" s="322"/>
      <c r="K81" s="148"/>
    </row>
    <row r="82" spans="1:81" x14ac:dyDescent="0.55000000000000004">
      <c r="B82" s="135"/>
      <c r="C82" s="312"/>
      <c r="D82" s="322"/>
      <c r="E82" s="312"/>
      <c r="F82" s="312"/>
      <c r="G82" s="322"/>
      <c r="H82" s="312"/>
      <c r="I82" s="312"/>
      <c r="J82" s="322"/>
      <c r="K82" s="148"/>
    </row>
    <row r="83" spans="1:81" x14ac:dyDescent="0.55000000000000004">
      <c r="B83" s="135"/>
      <c r="C83" s="312"/>
      <c r="D83" s="312"/>
      <c r="E83" s="312"/>
      <c r="F83" s="312"/>
      <c r="G83" s="312"/>
      <c r="H83" s="312"/>
      <c r="I83" s="312"/>
      <c r="J83" s="312"/>
      <c r="K83" s="148"/>
    </row>
    <row r="84" spans="1:81" x14ac:dyDescent="0.55000000000000004">
      <c r="B84" s="305" t="s">
        <v>15</v>
      </c>
      <c r="C84" s="306"/>
      <c r="D84" s="306"/>
      <c r="E84" s="306"/>
      <c r="F84" s="306"/>
      <c r="G84" s="306"/>
      <c r="H84" s="306"/>
      <c r="I84" s="306"/>
      <c r="J84" s="306"/>
      <c r="K84" s="307"/>
    </row>
    <row r="85" spans="1:81" x14ac:dyDescent="0.55000000000000004">
      <c r="B85" s="323"/>
      <c r="C85" s="308"/>
      <c r="D85" s="309" t="s">
        <v>26</v>
      </c>
      <c r="E85" s="308"/>
      <c r="F85" s="308"/>
      <c r="G85" s="309" t="s">
        <v>27</v>
      </c>
      <c r="H85" s="308"/>
      <c r="I85" s="308"/>
      <c r="J85" s="309" t="s">
        <v>28</v>
      </c>
      <c r="K85" s="148"/>
    </row>
    <row r="86" spans="1:81" x14ac:dyDescent="0.55000000000000004">
      <c r="B86" s="323"/>
      <c r="C86" s="308"/>
      <c r="D86" s="324"/>
      <c r="E86" s="308"/>
      <c r="F86" s="308"/>
      <c r="G86" s="302"/>
      <c r="H86" s="308"/>
      <c r="I86" s="308"/>
      <c r="J86" s="302"/>
      <c r="K86" s="148"/>
    </row>
    <row r="87" spans="1:81" x14ac:dyDescent="0.55000000000000004">
      <c r="B87" s="311" t="str">
        <f>GCT!B40</f>
        <v>Refinery product 1 (main)</v>
      </c>
      <c r="C87" s="312"/>
      <c r="D87" s="325" t="e">
        <f>IF(D74&gt;0, (D74*$D$67), 0)</f>
        <v>#NAME?</v>
      </c>
      <c r="E87" s="326"/>
      <c r="F87" s="326"/>
      <c r="G87" s="327" t="e">
        <f>IF(G74&gt;0, (G74*$F$67), 0)</f>
        <v>#NAME?</v>
      </c>
      <c r="H87" s="326"/>
      <c r="I87" s="326"/>
      <c r="J87" s="327" t="e">
        <f>IF(J74&gt;0, (J74*$H$67), 0)</f>
        <v>#NAME?</v>
      </c>
      <c r="K87" s="148"/>
    </row>
    <row r="88" spans="1:81" x14ac:dyDescent="0.55000000000000004">
      <c r="B88" s="311" t="str">
        <f>GCT!B41</f>
        <v>Refinery product 2</v>
      </c>
      <c r="C88" s="312"/>
      <c r="D88" s="325" t="e">
        <f>IF(D75&gt;0, (D75*$D$67), 0)</f>
        <v>#NAME?</v>
      </c>
      <c r="E88" s="326"/>
      <c r="F88" s="326"/>
      <c r="G88" s="328" t="e">
        <f>IF(G75&gt;0, (G75*$F$67), 0)</f>
        <v>#NAME?</v>
      </c>
      <c r="H88" s="326"/>
      <c r="I88" s="326"/>
      <c r="J88" s="328" t="e">
        <f>IF(J75&gt;0, (J75*$H$67), 0)</f>
        <v>#NAME?</v>
      </c>
      <c r="K88" s="148"/>
    </row>
    <row r="89" spans="1:81" x14ac:dyDescent="0.55000000000000004">
      <c r="B89" s="311" t="str">
        <f>GCT!B42</f>
        <v>Refinery product 3</v>
      </c>
      <c r="C89" s="312"/>
      <c r="D89" s="325" t="e">
        <f>IF(D76&gt;0, (D76*$D$67), 0)</f>
        <v>#NAME?</v>
      </c>
      <c r="E89" s="326"/>
      <c r="F89" s="326"/>
      <c r="G89" s="328" t="e">
        <f>IF(G76&gt;0, (G76*$F$67), 0)</f>
        <v>#NAME?</v>
      </c>
      <c r="H89" s="326"/>
      <c r="I89" s="326"/>
      <c r="J89" s="328" t="e">
        <f>IF(J76&gt;0, (J76*$H$67), 0)</f>
        <v>#NAME?</v>
      </c>
      <c r="K89" s="148"/>
    </row>
    <row r="90" spans="1:81" x14ac:dyDescent="0.55000000000000004">
      <c r="B90" s="311" t="str">
        <f>GCT!B43</f>
        <v>Refinery product 4</v>
      </c>
      <c r="C90" s="312"/>
      <c r="D90" s="325" t="e">
        <f>IF(D77&gt;0, (D77*$D$67), 0)</f>
        <v>#NAME?</v>
      </c>
      <c r="E90" s="326"/>
      <c r="F90" s="326"/>
      <c r="G90" s="328" t="e">
        <f>IF(G77&gt;0, (G77*$F$67), 0)</f>
        <v>#NAME?</v>
      </c>
      <c r="H90" s="326"/>
      <c r="I90" s="326"/>
      <c r="J90" s="328" t="e">
        <f>IF(J77&gt;0, (J77*$H$67), 0)</f>
        <v>#NAME?</v>
      </c>
      <c r="K90" s="148"/>
    </row>
    <row r="91" spans="1:81" x14ac:dyDescent="0.55000000000000004">
      <c r="B91" s="311" t="str">
        <f>GCT!B44</f>
        <v>Refinery product 5</v>
      </c>
      <c r="C91" s="312"/>
      <c r="D91" s="325" t="e">
        <f>IF(D78&gt;0, (D78*$D$67), 0)</f>
        <v>#NAME?</v>
      </c>
      <c r="E91" s="326"/>
      <c r="F91" s="326"/>
      <c r="G91" s="329" t="e">
        <f>IF(G78&gt;0, (G78*$F$67), 0)</f>
        <v>#NAME?</v>
      </c>
      <c r="H91" s="326"/>
      <c r="I91" s="326"/>
      <c r="J91" s="329" t="e">
        <f>IF(J78&gt;0, (J78*$H$67), 0)</f>
        <v>#NAME?</v>
      </c>
      <c r="K91" s="148"/>
    </row>
    <row r="92" spans="1:81" x14ac:dyDescent="0.55000000000000004">
      <c r="B92" s="330" t="str">
        <f>GCT!B45</f>
        <v>Refinery product 6</v>
      </c>
      <c r="C92" s="137"/>
      <c r="D92" s="331" t="e">
        <f t="shared" ref="D92" si="0">IF(D79&gt;0, (D79*$D$67), 0)</f>
        <v>#NAME?</v>
      </c>
      <c r="E92" s="332"/>
      <c r="F92" s="332"/>
      <c r="G92" s="333" t="e">
        <f t="shared" ref="G92" si="1">IF(G79&gt;0, (G79*$F$67), 0)</f>
        <v>#NAME?</v>
      </c>
      <c r="H92" s="332"/>
      <c r="I92" s="332"/>
      <c r="J92" s="333" t="e">
        <f t="shared" ref="J92" si="2">IF(J79&gt;0, (J79*$H$67), 0)</f>
        <v>#NAME?</v>
      </c>
      <c r="K92" s="148"/>
    </row>
    <row r="93" spans="1:81" x14ac:dyDescent="0.55000000000000004">
      <c r="B93" s="311" t="str">
        <f>GCT!B46</f>
        <v>Refinery product 7</v>
      </c>
      <c r="C93" s="137"/>
      <c r="D93" s="333" t="e">
        <f>IF(D80&gt;0, (D80*$D$67), 0)</f>
        <v>#NAME?</v>
      </c>
      <c r="E93" s="332"/>
      <c r="F93" s="332"/>
      <c r="G93" s="333" t="e">
        <f>IF(G80&gt;0, (G80*$F$67), 0)</f>
        <v>#NAME?</v>
      </c>
      <c r="H93" s="332"/>
      <c r="I93" s="332"/>
      <c r="J93" s="333" t="e">
        <f>IF(J80&gt;0, (J80*$H$67), 0)</f>
        <v>#NAME?</v>
      </c>
      <c r="K93" s="148"/>
    </row>
    <row r="94" spans="1:81" s="51" customFormat="1" x14ac:dyDescent="0.55000000000000004">
      <c r="A94" s="136"/>
      <c r="B94" s="135"/>
      <c r="C94" s="137"/>
      <c r="D94" s="334"/>
      <c r="E94" s="335"/>
      <c r="F94" s="335"/>
      <c r="G94" s="336"/>
      <c r="H94" s="335"/>
      <c r="I94" s="335"/>
      <c r="J94" s="336"/>
      <c r="K94" s="148"/>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row>
    <row r="95" spans="1:81" s="51" customFormat="1" x14ac:dyDescent="0.55000000000000004">
      <c r="A95" s="136"/>
      <c r="B95" s="135"/>
      <c r="C95" s="137"/>
      <c r="D95" s="334"/>
      <c r="E95" s="335"/>
      <c r="F95" s="335"/>
      <c r="G95" s="336"/>
      <c r="H95" s="335"/>
      <c r="I95" s="335"/>
      <c r="J95" s="336"/>
      <c r="K95" s="148"/>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row>
    <row r="96" spans="1:81" s="51" customFormat="1" x14ac:dyDescent="0.55000000000000004">
      <c r="A96" s="136"/>
      <c r="B96" s="305" t="s">
        <v>406</v>
      </c>
      <c r="C96" s="306"/>
      <c r="D96" s="306"/>
      <c r="E96" s="306"/>
      <c r="F96" s="306"/>
      <c r="G96" s="306"/>
      <c r="H96" s="306"/>
      <c r="I96" s="306"/>
      <c r="J96" s="306"/>
      <c r="K96" s="307"/>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row>
    <row r="97" spans="1:81" s="51" customFormat="1" x14ac:dyDescent="0.55000000000000004">
      <c r="A97" s="136"/>
      <c r="B97" s="135"/>
      <c r="C97" s="137"/>
      <c r="D97" s="309" t="s">
        <v>26</v>
      </c>
      <c r="E97" s="308"/>
      <c r="F97" s="308"/>
      <c r="G97" s="309" t="s">
        <v>27</v>
      </c>
      <c r="H97" s="308"/>
      <c r="I97" s="308"/>
      <c r="J97" s="309" t="s">
        <v>28</v>
      </c>
      <c r="K97" s="148"/>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row>
    <row r="98" spans="1:81" s="51" customFormat="1" x14ac:dyDescent="0.55000000000000004">
      <c r="A98" s="136"/>
      <c r="B98" s="311" t="s">
        <v>407</v>
      </c>
      <c r="C98" s="137"/>
      <c r="D98" s="140" t="str">
        <f>B40</f>
        <v>Refinery product 1 (main)</v>
      </c>
      <c r="E98" s="335"/>
      <c r="F98" s="335"/>
      <c r="G98" s="140" t="str">
        <f>B40</f>
        <v>Refinery product 1 (main)</v>
      </c>
      <c r="H98" s="335"/>
      <c r="I98" s="335"/>
      <c r="J98" s="140" t="str">
        <f>B40</f>
        <v>Refinery product 1 (main)</v>
      </c>
      <c r="K98" s="148"/>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row>
    <row r="99" spans="1:81" s="51" customFormat="1" x14ac:dyDescent="0.55000000000000004">
      <c r="A99" s="136"/>
      <c r="B99" s="311" t="s">
        <v>408</v>
      </c>
      <c r="C99" s="137"/>
      <c r="D99" s="337" t="e">
        <f>(G40-D40)/G40</f>
        <v>#DIV/0!</v>
      </c>
      <c r="E99" s="338"/>
      <c r="F99" s="338"/>
      <c r="G99" s="337" t="e">
        <f>(J28/J27)-((J55+J56+J54)/J27)</f>
        <v>#DIV/0!</v>
      </c>
      <c r="H99" s="338"/>
      <c r="I99" s="338"/>
      <c r="J99" s="337" t="e">
        <f>(M28/M27)-((M55+M56+M54)/M27)</f>
        <v>#DIV/0!</v>
      </c>
      <c r="K99" s="148"/>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row>
    <row r="100" spans="1:81" s="51" customFormat="1" ht="14.7" thickBot="1" x14ac:dyDescent="0.6">
      <c r="A100" s="136"/>
      <c r="B100" s="339"/>
      <c r="C100" s="293"/>
      <c r="D100" s="340"/>
      <c r="E100" s="341"/>
      <c r="F100" s="341"/>
      <c r="G100" s="342"/>
      <c r="H100" s="341"/>
      <c r="I100" s="341"/>
      <c r="J100" s="342"/>
      <c r="K100" s="343"/>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row>
    <row r="101" spans="1:81" s="51" customFormat="1" x14ac:dyDescent="0.55000000000000004">
      <c r="A101" s="136"/>
      <c r="B101" s="137"/>
      <c r="C101" s="137"/>
      <c r="D101" s="334"/>
      <c r="E101" s="335"/>
      <c r="F101" s="335"/>
      <c r="G101" s="336"/>
      <c r="H101" s="335"/>
      <c r="I101" s="335"/>
      <c r="J101" s="336"/>
      <c r="K101" s="137"/>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row>
    <row r="102" spans="1:81" x14ac:dyDescent="0.55000000000000004">
      <c r="D102" s="344"/>
      <c r="E102" s="344"/>
      <c r="F102" s="344"/>
      <c r="G102" s="344"/>
      <c r="H102" s="344"/>
      <c r="I102" s="344"/>
      <c r="J102" s="344"/>
    </row>
    <row r="104" spans="1:81" ht="14.7" thickBot="1" x14ac:dyDescent="0.6"/>
    <row r="105" spans="1:81" ht="18.3" x14ac:dyDescent="0.7">
      <c r="B105" s="298" t="s">
        <v>38</v>
      </c>
      <c r="C105" s="299"/>
      <c r="D105" s="299"/>
      <c r="E105" s="299"/>
      <c r="F105" s="299"/>
      <c r="G105" s="299"/>
      <c r="H105" s="299"/>
      <c r="I105" s="299"/>
      <c r="J105" s="299"/>
      <c r="K105" s="300"/>
    </row>
    <row r="106" spans="1:81" x14ac:dyDescent="0.55000000000000004">
      <c r="B106" s="135"/>
      <c r="C106" s="137"/>
      <c r="D106" s="137"/>
      <c r="E106" s="137"/>
      <c r="F106" s="137"/>
      <c r="G106" s="137"/>
      <c r="H106" s="137"/>
      <c r="I106" s="137"/>
      <c r="J106" s="137"/>
      <c r="K106" s="148"/>
    </row>
    <row r="107" spans="1:81" x14ac:dyDescent="0.55000000000000004">
      <c r="B107" s="135"/>
      <c r="C107" s="137"/>
      <c r="D107" s="137"/>
      <c r="E107" s="137"/>
      <c r="F107" s="137"/>
      <c r="G107" s="137"/>
      <c r="H107" s="137"/>
      <c r="I107" s="137"/>
      <c r="J107" s="137"/>
      <c r="K107" s="148"/>
    </row>
    <row r="108" spans="1:81" x14ac:dyDescent="0.55000000000000004">
      <c r="B108" s="135"/>
      <c r="C108" s="301" t="s">
        <v>5</v>
      </c>
      <c r="D108" s="301"/>
      <c r="E108" s="301"/>
      <c r="F108" s="301"/>
      <c r="G108" s="301"/>
      <c r="H108" s="301"/>
      <c r="I108" s="301"/>
      <c r="J108" s="301"/>
      <c r="K108" s="148"/>
    </row>
    <row r="109" spans="1:81" x14ac:dyDescent="0.55000000000000004">
      <c r="B109" s="135"/>
      <c r="C109" s="345" t="s">
        <v>21</v>
      </c>
      <c r="D109" s="345"/>
      <c r="E109" s="175"/>
      <c r="F109" s="345" t="s">
        <v>24</v>
      </c>
      <c r="G109" s="345"/>
      <c r="H109" s="346"/>
      <c r="I109" s="345" t="s">
        <v>25</v>
      </c>
      <c r="J109" s="345"/>
      <c r="K109" s="148"/>
    </row>
    <row r="110" spans="1:81" x14ac:dyDescent="0.55000000000000004">
      <c r="B110" s="135"/>
      <c r="C110" s="140" t="s">
        <v>8</v>
      </c>
      <c r="D110" s="140" t="e">
        <f>GCT!G28/GCT!G27</f>
        <v>#DIV/0!</v>
      </c>
      <c r="E110" s="176"/>
      <c r="F110" s="140" t="s">
        <v>3</v>
      </c>
      <c r="G110" s="140" t="e">
        <f>GCT!J28/GCT!J27</f>
        <v>#DIV/0!</v>
      </c>
      <c r="H110" s="347"/>
      <c r="I110" s="140" t="s">
        <v>3</v>
      </c>
      <c r="J110" s="140" t="e">
        <f>GCT!M28/GCT!M27</f>
        <v>#DIV/0!</v>
      </c>
      <c r="K110" s="148"/>
    </row>
    <row r="111" spans="1:81" x14ac:dyDescent="0.55000000000000004">
      <c r="B111" s="135"/>
      <c r="C111" s="140" t="s">
        <v>4</v>
      </c>
      <c r="D111" s="348" t="e">
        <f>D110-((G55+G56+G54)/(GCT!G27))</f>
        <v>#DIV/0!</v>
      </c>
      <c r="E111" s="177"/>
      <c r="F111" s="140" t="s">
        <v>4</v>
      </c>
      <c r="G111" s="140" t="e">
        <f>G110-((J55+J56+J54)/(GCT!J27))</f>
        <v>#DIV/0!</v>
      </c>
      <c r="H111" s="349"/>
      <c r="I111" s="140" t="s">
        <v>4</v>
      </c>
      <c r="J111" s="140" t="e">
        <f>J110-((M55+M56+M54)/(GCT!M27))</f>
        <v>#DIV/0!</v>
      </c>
      <c r="K111" s="148"/>
    </row>
    <row r="112" spans="1:81" x14ac:dyDescent="0.55000000000000004">
      <c r="B112" s="135"/>
      <c r="C112" s="137"/>
      <c r="D112" s="137"/>
      <c r="E112" s="137"/>
      <c r="F112" s="137"/>
      <c r="G112" s="137"/>
      <c r="H112" s="137"/>
      <c r="I112" s="137"/>
      <c r="J112" s="137"/>
      <c r="K112" s="148"/>
    </row>
    <row r="113" spans="1:81" x14ac:dyDescent="0.55000000000000004">
      <c r="B113" s="135"/>
      <c r="C113" s="137"/>
      <c r="D113" s="137"/>
      <c r="E113" s="137"/>
      <c r="F113" s="137"/>
      <c r="G113" s="137"/>
      <c r="H113" s="137"/>
      <c r="I113" s="137"/>
      <c r="J113" s="137"/>
      <c r="K113" s="148"/>
    </row>
    <row r="114" spans="1:81" x14ac:dyDescent="0.55000000000000004">
      <c r="B114" s="135"/>
      <c r="C114" s="137"/>
      <c r="D114" s="137"/>
      <c r="E114" s="137"/>
      <c r="F114" s="137"/>
      <c r="G114" s="137"/>
      <c r="H114" s="137"/>
      <c r="I114" s="137"/>
      <c r="J114" s="137"/>
      <c r="K114" s="148"/>
    </row>
    <row r="115" spans="1:81" x14ac:dyDescent="0.55000000000000004">
      <c r="B115" s="350" t="s">
        <v>9</v>
      </c>
      <c r="C115" s="351"/>
      <c r="D115" s="351"/>
      <c r="E115" s="351"/>
      <c r="F115" s="351"/>
      <c r="G115" s="351"/>
      <c r="H115" s="351"/>
      <c r="I115" s="351"/>
      <c r="J115" s="351"/>
      <c r="K115" s="352"/>
    </row>
    <row r="116" spans="1:81" x14ac:dyDescent="0.55000000000000004">
      <c r="B116" s="135"/>
      <c r="C116" s="308"/>
      <c r="D116" s="309" t="s">
        <v>26</v>
      </c>
      <c r="E116" s="308"/>
      <c r="F116" s="308"/>
      <c r="G116" s="309" t="s">
        <v>27</v>
      </c>
      <c r="H116" s="308"/>
      <c r="I116" s="308"/>
      <c r="J116" s="309" t="s">
        <v>28</v>
      </c>
      <c r="K116" s="148"/>
    </row>
    <row r="117" spans="1:81" x14ac:dyDescent="0.55000000000000004">
      <c r="B117" s="135"/>
      <c r="C117" s="308"/>
      <c r="D117" s="302"/>
      <c r="E117" s="308"/>
      <c r="F117" s="308"/>
      <c r="G117" s="302"/>
      <c r="H117" s="308"/>
      <c r="I117" s="308"/>
      <c r="J117" s="302"/>
      <c r="K117" s="148"/>
    </row>
    <row r="118" spans="1:81" x14ac:dyDescent="0.55000000000000004">
      <c r="B118" s="311" t="str">
        <f>GCT!B40</f>
        <v>Refinery product 1 (main)</v>
      </c>
      <c r="C118" s="312"/>
      <c r="D118" s="333" t="e">
        <f>H40*GCT!$D$111/GCT!$G$27</f>
        <v>#DIV/0!</v>
      </c>
      <c r="E118" s="326"/>
      <c r="F118" s="326"/>
      <c r="G118" s="327" t="e">
        <f>K40*GCT!$G$111/GCT!$J$27</f>
        <v>#DIV/0!</v>
      </c>
      <c r="H118" s="326"/>
      <c r="I118" s="326"/>
      <c r="J118" s="327" t="e">
        <f>N40*GCT!$J$111/GCT!$M$27</f>
        <v>#DIV/0!</v>
      </c>
      <c r="K118" s="148"/>
    </row>
    <row r="119" spans="1:81" x14ac:dyDescent="0.55000000000000004">
      <c r="B119" s="311" t="str">
        <f>GCT!B41</f>
        <v>Refinery product 2</v>
      </c>
      <c r="C119" s="312"/>
      <c r="D119" s="333" t="e">
        <f>H41*GCT!$D$111/GCT!$G$27</f>
        <v>#DIV/0!</v>
      </c>
      <c r="E119" s="326"/>
      <c r="F119" s="326"/>
      <c r="G119" s="328" t="e">
        <f>K41*GCT!$G$111/GCT!$J$27</f>
        <v>#DIV/0!</v>
      </c>
      <c r="H119" s="326"/>
      <c r="I119" s="326"/>
      <c r="J119" s="328" t="e">
        <f>N41*GCT!$J$111/GCT!$M$27</f>
        <v>#DIV/0!</v>
      </c>
      <c r="K119" s="148"/>
    </row>
    <row r="120" spans="1:81" x14ac:dyDescent="0.55000000000000004">
      <c r="B120" s="311" t="str">
        <f>GCT!B42</f>
        <v>Refinery product 3</v>
      </c>
      <c r="C120" s="312"/>
      <c r="D120" s="333" t="e">
        <f>H42*GCT!$D$111/GCT!$G$27</f>
        <v>#DIV/0!</v>
      </c>
      <c r="E120" s="326"/>
      <c r="F120" s="326"/>
      <c r="G120" s="328" t="e">
        <f>K42*GCT!$G$111/GCT!$J$27</f>
        <v>#DIV/0!</v>
      </c>
      <c r="H120" s="326"/>
      <c r="I120" s="326"/>
      <c r="J120" s="328" t="e">
        <f>N42*GCT!$J$111/GCT!$M$27</f>
        <v>#DIV/0!</v>
      </c>
      <c r="K120" s="148"/>
    </row>
    <row r="121" spans="1:81" x14ac:dyDescent="0.55000000000000004">
      <c r="B121" s="311" t="str">
        <f>GCT!B43</f>
        <v>Refinery product 4</v>
      </c>
      <c r="C121" s="312"/>
      <c r="D121" s="333" t="e">
        <f>H43*GCT!$D$111/GCT!$G$27</f>
        <v>#DIV/0!</v>
      </c>
      <c r="E121" s="326"/>
      <c r="F121" s="326"/>
      <c r="G121" s="328" t="e">
        <f>K43*GCT!$G$111/GCT!$J$27</f>
        <v>#DIV/0!</v>
      </c>
      <c r="H121" s="326"/>
      <c r="I121" s="326"/>
      <c r="J121" s="328" t="e">
        <f>N43*GCT!$J$111/GCT!$M$27</f>
        <v>#DIV/0!</v>
      </c>
      <c r="K121" s="148"/>
    </row>
    <row r="122" spans="1:81" x14ac:dyDescent="0.55000000000000004">
      <c r="B122" s="311" t="str">
        <f>GCT!B44</f>
        <v>Refinery product 5</v>
      </c>
      <c r="C122" s="312"/>
      <c r="D122" s="333" t="e">
        <f>H44*GCT!$D$111/GCT!$G$27</f>
        <v>#DIV/0!</v>
      </c>
      <c r="E122" s="326"/>
      <c r="F122" s="326"/>
      <c r="G122" s="329" t="e">
        <f>K44*GCT!$G$111/GCT!$J$27</f>
        <v>#DIV/0!</v>
      </c>
      <c r="H122" s="326"/>
      <c r="I122" s="326"/>
      <c r="J122" s="329" t="e">
        <f>N44*GCT!$J$111/GCT!$M$27</f>
        <v>#DIV/0!</v>
      </c>
      <c r="K122" s="148"/>
    </row>
    <row r="123" spans="1:81" x14ac:dyDescent="0.55000000000000004">
      <c r="B123" s="311" t="str">
        <f>GCT!B45</f>
        <v>Refinery product 6</v>
      </c>
      <c r="C123" s="312"/>
      <c r="D123" s="353" t="e">
        <f>H45*GCT!$D$111/GCT!$G$27</f>
        <v>#DIV/0!</v>
      </c>
      <c r="E123" s="326"/>
      <c r="F123" s="326"/>
      <c r="G123" s="333" t="e">
        <f>K45*GCT!$G$111/GCT!$J$27</f>
        <v>#DIV/0!</v>
      </c>
      <c r="H123" s="326"/>
      <c r="I123" s="326"/>
      <c r="J123" s="333" t="e">
        <f>N45*GCT!$J$111/GCT!$M$27</f>
        <v>#DIV/0!</v>
      </c>
      <c r="K123" s="148"/>
    </row>
    <row r="124" spans="1:81" x14ac:dyDescent="0.55000000000000004">
      <c r="B124" s="311" t="str">
        <f>GCT!B46</f>
        <v>Refinery product 7</v>
      </c>
      <c r="C124" s="312"/>
      <c r="D124" s="333" t="e">
        <f>H46*GCT!$D$111/GCT!$G$27</f>
        <v>#DIV/0!</v>
      </c>
      <c r="E124" s="326"/>
      <c r="F124" s="326"/>
      <c r="G124" s="333" t="e">
        <f>K46*GCT!$G$111/GCT!$J$27</f>
        <v>#DIV/0!</v>
      </c>
      <c r="H124" s="326"/>
      <c r="I124" s="326"/>
      <c r="J124" s="333" t="e">
        <f>N46*GCT!$J$111/GCT!$M$27</f>
        <v>#DIV/0!</v>
      </c>
      <c r="K124" s="148"/>
    </row>
    <row r="125" spans="1:81" s="51" customFormat="1" x14ac:dyDescent="0.55000000000000004">
      <c r="A125" s="136"/>
      <c r="B125" s="135"/>
      <c r="C125" s="312"/>
      <c r="D125" s="334"/>
      <c r="E125" s="354"/>
      <c r="F125" s="354"/>
      <c r="G125" s="334"/>
      <c r="H125" s="354"/>
      <c r="I125" s="354"/>
      <c r="J125" s="334"/>
      <c r="K125" s="148"/>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row>
    <row r="126" spans="1:81" s="51" customFormat="1" x14ac:dyDescent="0.55000000000000004">
      <c r="A126" s="136"/>
      <c r="B126" s="135"/>
      <c r="C126" s="312"/>
      <c r="D126" s="334"/>
      <c r="E126" s="354"/>
      <c r="F126" s="354"/>
      <c r="G126" s="334"/>
      <c r="H126" s="354"/>
      <c r="I126" s="354"/>
      <c r="J126" s="334"/>
      <c r="K126" s="148"/>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row>
    <row r="127" spans="1:81" s="51" customFormat="1" x14ac:dyDescent="0.55000000000000004">
      <c r="A127" s="136"/>
      <c r="B127" s="305" t="s">
        <v>410</v>
      </c>
      <c r="C127" s="306"/>
      <c r="D127" s="306"/>
      <c r="E127" s="306"/>
      <c r="F127" s="306"/>
      <c r="G127" s="306"/>
      <c r="H127" s="306"/>
      <c r="I127" s="306"/>
      <c r="J127" s="306"/>
      <c r="K127" s="307"/>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row>
    <row r="128" spans="1:81" s="51" customFormat="1" x14ac:dyDescent="0.55000000000000004">
      <c r="A128" s="136"/>
      <c r="B128" s="135"/>
      <c r="C128" s="137"/>
      <c r="D128" s="309" t="s">
        <v>26</v>
      </c>
      <c r="E128" s="308"/>
      <c r="F128" s="308"/>
      <c r="G128" s="309" t="s">
        <v>27</v>
      </c>
      <c r="H128" s="308"/>
      <c r="I128" s="308"/>
      <c r="J128" s="309" t="s">
        <v>28</v>
      </c>
      <c r="K128" s="148"/>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row>
    <row r="129" spans="1:81" s="51" customFormat="1" x14ac:dyDescent="0.55000000000000004">
      <c r="A129" s="136"/>
      <c r="B129" s="311" t="s">
        <v>407</v>
      </c>
      <c r="C129" s="137"/>
      <c r="D129" s="140" t="str">
        <f>B40</f>
        <v>Refinery product 1 (main)</v>
      </c>
      <c r="E129" s="335"/>
      <c r="F129" s="335"/>
      <c r="G129" s="140" t="str">
        <f>B40</f>
        <v>Refinery product 1 (main)</v>
      </c>
      <c r="H129" s="335"/>
      <c r="I129" s="335"/>
      <c r="J129" s="140" t="str">
        <f>B40</f>
        <v>Refinery product 1 (main)</v>
      </c>
      <c r="K129" s="148"/>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row>
    <row r="130" spans="1:81" x14ac:dyDescent="0.55000000000000004">
      <c r="B130" s="311" t="s">
        <v>408</v>
      </c>
      <c r="C130" s="137"/>
      <c r="D130" s="355" t="e">
        <f>(G28/G27)-((G55+G56+G54)/G27)</f>
        <v>#DIV/0!</v>
      </c>
      <c r="E130" s="356"/>
      <c r="F130" s="356"/>
      <c r="G130" s="355" t="e">
        <f>(J28/J27)-((J55+J56+J54)/J27)</f>
        <v>#DIV/0!</v>
      </c>
      <c r="H130" s="356"/>
      <c r="I130" s="356"/>
      <c r="J130" s="355" t="e">
        <f>(M28/M27)-((M55+M56+M54)/M27)</f>
        <v>#DIV/0!</v>
      </c>
      <c r="K130" s="148"/>
    </row>
    <row r="131" spans="1:81" ht="14.7" thickBot="1" x14ac:dyDescent="0.6">
      <c r="B131" s="339"/>
      <c r="C131" s="293"/>
      <c r="D131" s="293"/>
      <c r="E131" s="293"/>
      <c r="F131" s="293"/>
      <c r="G131" s="293"/>
      <c r="H131" s="293"/>
      <c r="I131" s="293"/>
      <c r="J131" s="293"/>
      <c r="K131" s="343"/>
    </row>
    <row r="132" spans="1:81" s="51" customFormat="1" x14ac:dyDescent="0.55000000000000004">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row>
    <row r="133" spans="1:81" s="51" customFormat="1" x14ac:dyDescent="0.55000000000000004">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c r="BN133" s="136"/>
      <c r="BO133" s="136"/>
      <c r="BP133" s="136"/>
      <c r="BQ133" s="136"/>
      <c r="BR133" s="136"/>
      <c r="BS133" s="136"/>
      <c r="BT133" s="136"/>
      <c r="BU133" s="136"/>
      <c r="BV133" s="136"/>
      <c r="BW133" s="136"/>
      <c r="BX133" s="136"/>
      <c r="BY133" s="136"/>
      <c r="BZ133" s="136"/>
      <c r="CA133" s="136"/>
      <c r="CB133" s="136"/>
      <c r="CC133" s="136"/>
    </row>
    <row r="134" spans="1:81" ht="14.7" thickBot="1" x14ac:dyDescent="0.6"/>
    <row r="135" spans="1:81" ht="18.3" x14ac:dyDescent="0.7">
      <c r="B135" s="298" t="s">
        <v>39</v>
      </c>
      <c r="C135" s="299"/>
      <c r="D135" s="299"/>
      <c r="E135" s="299"/>
      <c r="F135" s="299"/>
      <c r="G135" s="299"/>
      <c r="H135" s="299"/>
      <c r="I135" s="299"/>
      <c r="J135" s="299"/>
      <c r="K135" s="300"/>
    </row>
    <row r="136" spans="1:81" x14ac:dyDescent="0.55000000000000004">
      <c r="B136" s="135"/>
      <c r="C136" s="137"/>
      <c r="D136" s="137"/>
      <c r="E136" s="137"/>
      <c r="F136" s="137"/>
      <c r="G136" s="137"/>
      <c r="H136" s="137"/>
      <c r="I136" s="137"/>
      <c r="J136" s="137"/>
      <c r="K136" s="148"/>
    </row>
    <row r="137" spans="1:81" x14ac:dyDescent="0.55000000000000004">
      <c r="B137" s="135"/>
      <c r="C137" s="357" t="s">
        <v>11</v>
      </c>
      <c r="D137" s="358"/>
      <c r="E137" s="358"/>
      <c r="F137" s="358"/>
      <c r="G137" s="358"/>
      <c r="H137" s="358"/>
      <c r="I137" s="358"/>
      <c r="J137" s="359"/>
      <c r="K137" s="148"/>
    </row>
    <row r="138" spans="1:81" x14ac:dyDescent="0.55000000000000004">
      <c r="B138" s="135"/>
      <c r="C138" s="360" t="s">
        <v>8</v>
      </c>
      <c r="D138" s="361" t="e">
        <f>(G28*G33)/((G29*G34)+(G28*G33))</f>
        <v>#DIV/0!</v>
      </c>
      <c r="E138" s="362"/>
      <c r="F138" s="363"/>
      <c r="G138" s="361" t="e">
        <f>(J28*J33)/((J29*J34)+(J28*J33))</f>
        <v>#DIV/0!</v>
      </c>
      <c r="H138" s="362"/>
      <c r="I138" s="363"/>
      <c r="J138" s="361" t="e">
        <f>(M28*M33)/((M29*M34)+(M28*M33))</f>
        <v>#DIV/0!</v>
      </c>
      <c r="K138" s="148"/>
    </row>
    <row r="139" spans="1:81" x14ac:dyDescent="0.55000000000000004">
      <c r="B139" s="135"/>
      <c r="C139" s="137"/>
      <c r="D139" s="137"/>
      <c r="E139" s="137"/>
      <c r="F139" s="137"/>
      <c r="G139" s="137"/>
      <c r="H139" s="137"/>
      <c r="I139" s="137"/>
      <c r="J139" s="137"/>
      <c r="K139" s="148"/>
    </row>
    <row r="140" spans="1:81" x14ac:dyDescent="0.55000000000000004">
      <c r="B140" s="135"/>
      <c r="C140" s="137"/>
      <c r="D140" s="137"/>
      <c r="E140" s="137"/>
      <c r="F140" s="137"/>
      <c r="G140" s="137"/>
      <c r="H140" s="137"/>
      <c r="I140" s="137"/>
      <c r="J140" s="137"/>
      <c r="K140" s="148"/>
    </row>
    <row r="141" spans="1:81" x14ac:dyDescent="0.55000000000000004">
      <c r="B141" s="135"/>
      <c r="C141" s="137"/>
      <c r="D141" s="137"/>
      <c r="E141" s="137"/>
      <c r="F141" s="137"/>
      <c r="G141" s="137"/>
      <c r="H141" s="137"/>
      <c r="I141" s="137"/>
      <c r="J141" s="137"/>
      <c r="K141" s="148"/>
    </row>
    <row r="142" spans="1:81" x14ac:dyDescent="0.55000000000000004">
      <c r="B142" s="364" t="s">
        <v>10</v>
      </c>
      <c r="C142" s="365"/>
      <c r="D142" s="365"/>
      <c r="E142" s="365"/>
      <c r="F142" s="365"/>
      <c r="G142" s="365"/>
      <c r="H142" s="365"/>
      <c r="I142" s="365"/>
      <c r="J142" s="365"/>
      <c r="K142" s="366"/>
    </row>
    <row r="143" spans="1:81" x14ac:dyDescent="0.55000000000000004">
      <c r="B143" s="135"/>
      <c r="C143" s="308"/>
      <c r="D143" s="302" t="s">
        <v>26</v>
      </c>
      <c r="E143" s="308"/>
      <c r="F143" s="308"/>
      <c r="G143" s="302" t="s">
        <v>27</v>
      </c>
      <c r="H143" s="308"/>
      <c r="I143" s="308"/>
      <c r="J143" s="302" t="s">
        <v>28</v>
      </c>
      <c r="K143" s="148"/>
    </row>
    <row r="144" spans="1:81" x14ac:dyDescent="0.55000000000000004">
      <c r="B144" s="135"/>
      <c r="C144" s="308"/>
      <c r="D144" s="302"/>
      <c r="E144" s="308"/>
      <c r="F144" s="308"/>
      <c r="G144" s="302"/>
      <c r="H144" s="308"/>
      <c r="I144" s="308"/>
      <c r="J144" s="302"/>
      <c r="K144" s="148"/>
    </row>
    <row r="145" spans="1:81" x14ac:dyDescent="0.55000000000000004">
      <c r="B145" s="311" t="str">
        <f>GCT!B40</f>
        <v>Refinery product 1 (main)</v>
      </c>
      <c r="C145" s="312"/>
      <c r="D145" s="327" t="e">
        <f>H40*GCT!$D$138/GCT!$G$27</f>
        <v>#DIV/0!</v>
      </c>
      <c r="E145" s="326"/>
      <c r="F145" s="326"/>
      <c r="G145" s="327" t="e">
        <f>K40*$D$138/GCT!$J$27</f>
        <v>#DIV/0!</v>
      </c>
      <c r="H145" s="326"/>
      <c r="I145" s="326"/>
      <c r="J145" s="333" t="e">
        <f>N40*$D$138/GCT!$M$27</f>
        <v>#DIV/0!</v>
      </c>
      <c r="K145" s="148"/>
    </row>
    <row r="146" spans="1:81" x14ac:dyDescent="0.55000000000000004">
      <c r="B146" s="311" t="str">
        <f>GCT!B41</f>
        <v>Refinery product 2</v>
      </c>
      <c r="C146" s="312"/>
      <c r="D146" s="328" t="e">
        <f>H41*GCT!$D$138/GCT!$G$27</f>
        <v>#DIV/0!</v>
      </c>
      <c r="E146" s="326"/>
      <c r="F146" s="326"/>
      <c r="G146" s="328" t="e">
        <f>K41*$D$138/GCT!$J$27</f>
        <v>#DIV/0!</v>
      </c>
      <c r="H146" s="326"/>
      <c r="I146" s="326"/>
      <c r="J146" s="327" t="e">
        <f>N41*$D$138/GCT!$M$27</f>
        <v>#DIV/0!</v>
      </c>
      <c r="K146" s="148"/>
    </row>
    <row r="147" spans="1:81" x14ac:dyDescent="0.55000000000000004">
      <c r="B147" s="311" t="str">
        <f>GCT!B42</f>
        <v>Refinery product 3</v>
      </c>
      <c r="C147" s="312"/>
      <c r="D147" s="328" t="e">
        <f>H42*GCT!$D$138/GCT!$G$27</f>
        <v>#DIV/0!</v>
      </c>
      <c r="E147" s="326"/>
      <c r="F147" s="326"/>
      <c r="G147" s="328" t="e">
        <f>K42*$D$138/GCT!$J$27</f>
        <v>#DIV/0!</v>
      </c>
      <c r="H147" s="326"/>
      <c r="I147" s="326"/>
      <c r="J147" s="328" t="e">
        <f>N42*$D$138/GCT!$M$27</f>
        <v>#DIV/0!</v>
      </c>
      <c r="K147" s="148"/>
    </row>
    <row r="148" spans="1:81" x14ac:dyDescent="0.55000000000000004">
      <c r="B148" s="311" t="str">
        <f>GCT!B43</f>
        <v>Refinery product 4</v>
      </c>
      <c r="C148" s="312"/>
      <c r="D148" s="328" t="e">
        <f>H43*GCT!$D$138/GCT!$G$27</f>
        <v>#DIV/0!</v>
      </c>
      <c r="E148" s="326"/>
      <c r="F148" s="326"/>
      <c r="G148" s="328" t="e">
        <f>K43*$D$138/GCT!$J$27</f>
        <v>#DIV/0!</v>
      </c>
      <c r="H148" s="326"/>
      <c r="I148" s="326"/>
      <c r="J148" s="328" t="e">
        <f>N43*$D$138/GCT!$M$27</f>
        <v>#DIV/0!</v>
      </c>
      <c r="K148" s="148"/>
    </row>
    <row r="149" spans="1:81" x14ac:dyDescent="0.55000000000000004">
      <c r="B149" s="311" t="str">
        <f>GCT!B44</f>
        <v>Refinery product 5</v>
      </c>
      <c r="C149" s="312"/>
      <c r="D149" s="329" t="e">
        <f>H44*GCT!$D$138/GCT!$G$27</f>
        <v>#DIV/0!</v>
      </c>
      <c r="E149" s="326"/>
      <c r="F149" s="326"/>
      <c r="G149" s="329" t="e">
        <f>K44*$D$138/GCT!$J$27</f>
        <v>#DIV/0!</v>
      </c>
      <c r="H149" s="326"/>
      <c r="I149" s="326"/>
      <c r="J149" s="329" t="e">
        <f>N44*$D$138/GCT!$M$27</f>
        <v>#DIV/0!</v>
      </c>
      <c r="K149" s="148"/>
    </row>
    <row r="150" spans="1:81" x14ac:dyDescent="0.55000000000000004">
      <c r="B150" s="311" t="str">
        <f>GCT!B45</f>
        <v>Refinery product 6</v>
      </c>
      <c r="C150" s="312"/>
      <c r="D150" s="333" t="e">
        <f>H45*GCT!$D$138/GCT!$G$27</f>
        <v>#DIV/0!</v>
      </c>
      <c r="E150" s="326"/>
      <c r="F150" s="326"/>
      <c r="G150" s="333" t="e">
        <f>K45*$D$138/GCT!$J$27</f>
        <v>#DIV/0!</v>
      </c>
      <c r="H150" s="326"/>
      <c r="I150" s="326"/>
      <c r="J150" s="333" t="e">
        <f>N45*$D$138/GCT!$M$27</f>
        <v>#DIV/0!</v>
      </c>
      <c r="K150" s="148"/>
    </row>
    <row r="151" spans="1:81" x14ac:dyDescent="0.55000000000000004">
      <c r="B151" s="311" t="str">
        <f>GCT!B46</f>
        <v>Refinery product 7</v>
      </c>
      <c r="C151" s="312"/>
      <c r="D151" s="333" t="e">
        <f>H46*GCT!$D$138/GCT!$G$27</f>
        <v>#DIV/0!</v>
      </c>
      <c r="E151" s="326"/>
      <c r="F151" s="326"/>
      <c r="G151" s="333" t="e">
        <f>K46*$D$138/GCT!$J$27</f>
        <v>#DIV/0!</v>
      </c>
      <c r="H151" s="326"/>
      <c r="I151" s="326"/>
      <c r="J151" s="333" t="e">
        <f>N46*$D$138/GCT!$M$27</f>
        <v>#DIV/0!</v>
      </c>
      <c r="K151" s="148"/>
    </row>
    <row r="152" spans="1:81" s="51" customFormat="1" x14ac:dyDescent="0.55000000000000004">
      <c r="A152" s="136"/>
      <c r="B152" s="135"/>
      <c r="C152" s="312"/>
      <c r="D152" s="334"/>
      <c r="E152" s="312"/>
      <c r="F152" s="312"/>
      <c r="G152" s="336"/>
      <c r="H152" s="312"/>
      <c r="I152" s="312"/>
      <c r="J152" s="336"/>
      <c r="K152" s="148"/>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6"/>
      <c r="BR152" s="136"/>
      <c r="BS152" s="136"/>
      <c r="BT152" s="136"/>
      <c r="BU152" s="136"/>
      <c r="BV152" s="136"/>
      <c r="BW152" s="136"/>
      <c r="BX152" s="136"/>
      <c r="BY152" s="136"/>
      <c r="BZ152" s="136"/>
      <c r="CA152" s="136"/>
      <c r="CB152" s="136"/>
      <c r="CC152" s="136"/>
    </row>
    <row r="153" spans="1:81" s="51" customFormat="1" x14ac:dyDescent="0.55000000000000004">
      <c r="A153" s="136"/>
      <c r="B153" s="135"/>
      <c r="C153" s="312"/>
      <c r="D153" s="334"/>
      <c r="E153" s="312"/>
      <c r="F153" s="312"/>
      <c r="G153" s="336"/>
      <c r="H153" s="312"/>
      <c r="I153" s="312"/>
      <c r="J153" s="336"/>
      <c r="K153" s="148"/>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c r="BI153" s="136"/>
      <c r="BJ153" s="136"/>
      <c r="BK153" s="136"/>
      <c r="BL153" s="136"/>
      <c r="BM153" s="136"/>
      <c r="BN153" s="136"/>
      <c r="BO153" s="136"/>
      <c r="BP153" s="136"/>
      <c r="BQ153" s="136"/>
      <c r="BR153" s="136"/>
      <c r="BS153" s="136"/>
      <c r="BT153" s="136"/>
      <c r="BU153" s="136"/>
      <c r="BV153" s="136"/>
      <c r="BW153" s="136"/>
      <c r="BX153" s="136"/>
      <c r="BY153" s="136"/>
      <c r="BZ153" s="136"/>
      <c r="CA153" s="136"/>
      <c r="CB153" s="136"/>
      <c r="CC153" s="136"/>
    </row>
    <row r="154" spans="1:81" s="51" customFormat="1" x14ac:dyDescent="0.55000000000000004">
      <c r="A154" s="136"/>
      <c r="B154" s="305" t="s">
        <v>409</v>
      </c>
      <c r="C154" s="306"/>
      <c r="D154" s="306"/>
      <c r="E154" s="306"/>
      <c r="F154" s="306"/>
      <c r="G154" s="306"/>
      <c r="H154" s="306"/>
      <c r="I154" s="306"/>
      <c r="J154" s="306"/>
      <c r="K154" s="307"/>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c r="BI154" s="136"/>
      <c r="BJ154" s="136"/>
      <c r="BK154" s="136"/>
      <c r="BL154" s="136"/>
      <c r="BM154" s="136"/>
      <c r="BN154" s="136"/>
      <c r="BO154" s="136"/>
      <c r="BP154" s="136"/>
      <c r="BQ154" s="136"/>
      <c r="BR154" s="136"/>
      <c r="BS154" s="136"/>
      <c r="BT154" s="136"/>
      <c r="BU154" s="136"/>
      <c r="BV154" s="136"/>
      <c r="BW154" s="136"/>
      <c r="BX154" s="136"/>
      <c r="BY154" s="136"/>
      <c r="BZ154" s="136"/>
      <c r="CA154" s="136"/>
      <c r="CB154" s="136"/>
      <c r="CC154" s="136"/>
    </row>
    <row r="155" spans="1:81" s="51" customFormat="1" x14ac:dyDescent="0.55000000000000004">
      <c r="A155" s="136"/>
      <c r="B155" s="135"/>
      <c r="C155" s="137"/>
      <c r="D155" s="309" t="s">
        <v>26</v>
      </c>
      <c r="E155" s="308"/>
      <c r="F155" s="308"/>
      <c r="G155" s="309" t="s">
        <v>27</v>
      </c>
      <c r="H155" s="308"/>
      <c r="I155" s="308"/>
      <c r="J155" s="309" t="s">
        <v>28</v>
      </c>
      <c r="K155" s="148"/>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c r="BI155" s="136"/>
      <c r="BJ155" s="136"/>
      <c r="BK155" s="136"/>
      <c r="BL155" s="136"/>
      <c r="BM155" s="136"/>
      <c r="BN155" s="136"/>
      <c r="BO155" s="136"/>
      <c r="BP155" s="136"/>
      <c r="BQ155" s="136"/>
      <c r="BR155" s="136"/>
      <c r="BS155" s="136"/>
      <c r="BT155" s="136"/>
      <c r="BU155" s="136"/>
      <c r="BV155" s="136"/>
      <c r="BW155" s="136"/>
      <c r="BX155" s="136"/>
      <c r="BY155" s="136"/>
      <c r="BZ155" s="136"/>
      <c r="CA155" s="136"/>
      <c r="CB155" s="136"/>
      <c r="CC155" s="136"/>
    </row>
    <row r="156" spans="1:81" s="51" customFormat="1" x14ac:dyDescent="0.55000000000000004">
      <c r="A156" s="136"/>
      <c r="B156" s="311" t="s">
        <v>407</v>
      </c>
      <c r="C156" s="137"/>
      <c r="D156" s="140" t="str">
        <f>B40</f>
        <v>Refinery product 1 (main)</v>
      </c>
      <c r="E156" s="335"/>
      <c r="F156" s="335"/>
      <c r="G156" s="140" t="str">
        <f>B40</f>
        <v>Refinery product 1 (main)</v>
      </c>
      <c r="H156" s="335"/>
      <c r="I156" s="335"/>
      <c r="J156" s="140" t="str">
        <f>B40</f>
        <v>Refinery product 1 (main)</v>
      </c>
      <c r="K156" s="148"/>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c r="BI156" s="136"/>
      <c r="BJ156" s="136"/>
      <c r="BK156" s="136"/>
      <c r="BL156" s="136"/>
      <c r="BM156" s="136"/>
      <c r="BN156" s="136"/>
      <c r="BO156" s="136"/>
      <c r="BP156" s="136"/>
      <c r="BQ156" s="136"/>
      <c r="BR156" s="136"/>
      <c r="BS156" s="136"/>
      <c r="BT156" s="136"/>
      <c r="BU156" s="136"/>
      <c r="BV156" s="136"/>
      <c r="BW156" s="136"/>
      <c r="BX156" s="136"/>
      <c r="BY156" s="136"/>
      <c r="BZ156" s="136"/>
      <c r="CA156" s="136"/>
      <c r="CB156" s="136"/>
      <c r="CC156" s="136"/>
    </row>
    <row r="157" spans="1:81" s="51" customFormat="1" x14ac:dyDescent="0.55000000000000004">
      <c r="A157" s="136"/>
      <c r="B157" s="311" t="s">
        <v>408</v>
      </c>
      <c r="C157" s="137"/>
      <c r="D157" s="367" t="e">
        <f>D138</f>
        <v>#DIV/0!</v>
      </c>
      <c r="E157" s="368"/>
      <c r="F157" s="368"/>
      <c r="G157" s="367" t="e">
        <f>G138</f>
        <v>#DIV/0!</v>
      </c>
      <c r="H157" s="368"/>
      <c r="I157" s="368"/>
      <c r="J157" s="367" t="e">
        <f>J138</f>
        <v>#DIV/0!</v>
      </c>
      <c r="K157" s="148"/>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c r="BI157" s="136"/>
      <c r="BJ157" s="136"/>
      <c r="BK157" s="136"/>
      <c r="BL157" s="136"/>
      <c r="BM157" s="136"/>
      <c r="BN157" s="136"/>
      <c r="BO157" s="136"/>
      <c r="BP157" s="136"/>
      <c r="BQ157" s="136"/>
      <c r="BR157" s="136"/>
      <c r="BS157" s="136"/>
      <c r="BT157" s="136"/>
      <c r="BU157" s="136"/>
      <c r="BV157" s="136"/>
      <c r="BW157" s="136"/>
      <c r="BX157" s="136"/>
      <c r="BY157" s="136"/>
      <c r="BZ157" s="136"/>
      <c r="CA157" s="136"/>
      <c r="CB157" s="136"/>
      <c r="CC157" s="136"/>
    </row>
    <row r="158" spans="1:81" ht="14.7" thickBot="1" x14ac:dyDescent="0.6">
      <c r="B158" s="339"/>
      <c r="C158" s="293"/>
      <c r="D158" s="293"/>
      <c r="E158" s="293"/>
      <c r="F158" s="293"/>
      <c r="G158" s="293"/>
      <c r="H158" s="293"/>
      <c r="I158" s="293"/>
      <c r="J158" s="341"/>
      <c r="K158" s="343"/>
    </row>
    <row r="160" spans="1:81" ht="14.7" thickBot="1" x14ac:dyDescent="0.6"/>
    <row r="161" spans="1:81" ht="18.3" x14ac:dyDescent="0.7">
      <c r="B161" s="298" t="s">
        <v>122</v>
      </c>
      <c r="C161" s="299"/>
      <c r="D161" s="299"/>
      <c r="E161" s="299"/>
      <c r="F161" s="299"/>
      <c r="G161" s="299"/>
      <c r="H161" s="299"/>
      <c r="I161" s="299"/>
      <c r="J161" s="299"/>
      <c r="K161" s="300"/>
    </row>
    <row r="162" spans="1:81" x14ac:dyDescent="0.55000000000000004">
      <c r="B162" s="135"/>
      <c r="C162" s="137"/>
      <c r="D162" s="137"/>
      <c r="E162" s="137"/>
      <c r="F162" s="137"/>
      <c r="G162" s="137"/>
      <c r="H162" s="137"/>
      <c r="I162" s="137"/>
      <c r="J162" s="137"/>
      <c r="K162" s="148"/>
    </row>
    <row r="163" spans="1:81" x14ac:dyDescent="0.55000000000000004">
      <c r="B163" s="135"/>
      <c r="C163" s="137"/>
      <c r="D163" s="301" t="s">
        <v>12</v>
      </c>
      <c r="E163" s="301"/>
      <c r="F163" s="301"/>
      <c r="G163" s="301"/>
      <c r="H163" s="301"/>
      <c r="I163" s="301"/>
      <c r="J163" s="137"/>
      <c r="K163" s="148"/>
    </row>
    <row r="164" spans="1:81" x14ac:dyDescent="0.55000000000000004">
      <c r="B164" s="135"/>
      <c r="C164" s="137"/>
      <c r="D164" s="140"/>
      <c r="E164" s="302" t="s">
        <v>21</v>
      </c>
      <c r="F164" s="175"/>
      <c r="G164" s="302" t="s">
        <v>24</v>
      </c>
      <c r="H164" s="175"/>
      <c r="I164" s="302" t="s">
        <v>25</v>
      </c>
      <c r="J164" s="137"/>
      <c r="K164" s="148"/>
    </row>
    <row r="165" spans="1:81" x14ac:dyDescent="0.55000000000000004">
      <c r="B165" s="135"/>
      <c r="C165" s="137"/>
      <c r="D165" s="140" t="s">
        <v>8</v>
      </c>
      <c r="E165" s="361" t="e">
        <f>(G57-G58-G59)/G57</f>
        <v>#DIV/0!</v>
      </c>
      <c r="F165" s="177"/>
      <c r="G165" s="361" t="e">
        <f>(J57-J58-J59)/J57</f>
        <v>#DIV/0!</v>
      </c>
      <c r="H165" s="177"/>
      <c r="I165" s="361" t="e">
        <f>(M57-M58-M59)/M57</f>
        <v>#DIV/0!</v>
      </c>
      <c r="J165" s="137"/>
      <c r="K165" s="148"/>
    </row>
    <row r="166" spans="1:81" x14ac:dyDescent="0.55000000000000004">
      <c r="B166" s="135"/>
      <c r="C166" s="137"/>
      <c r="D166" s="137"/>
      <c r="E166" s="137"/>
      <c r="F166" s="137"/>
      <c r="G166" s="137"/>
      <c r="H166" s="137"/>
      <c r="I166" s="137"/>
      <c r="J166" s="137"/>
      <c r="K166" s="148"/>
    </row>
    <row r="167" spans="1:81" x14ac:dyDescent="0.55000000000000004">
      <c r="B167" s="135"/>
      <c r="C167" s="137"/>
      <c r="D167" s="137"/>
      <c r="E167" s="137"/>
      <c r="F167" s="137"/>
      <c r="G167" s="137"/>
      <c r="H167" s="137"/>
      <c r="I167" s="137"/>
      <c r="J167" s="137"/>
      <c r="K167" s="148"/>
    </row>
    <row r="168" spans="1:81" x14ac:dyDescent="0.55000000000000004">
      <c r="B168" s="135"/>
      <c r="C168" s="137"/>
      <c r="D168" s="369"/>
      <c r="E168" s="137"/>
      <c r="F168" s="137"/>
      <c r="G168" s="137"/>
      <c r="H168" s="137"/>
      <c r="I168" s="137"/>
      <c r="J168" s="137"/>
      <c r="K168" s="148"/>
    </row>
    <row r="169" spans="1:81" x14ac:dyDescent="0.55000000000000004">
      <c r="B169" s="364" t="s">
        <v>13</v>
      </c>
      <c r="C169" s="365"/>
      <c r="D169" s="365"/>
      <c r="E169" s="365"/>
      <c r="F169" s="365"/>
      <c r="G169" s="365"/>
      <c r="H169" s="365"/>
      <c r="I169" s="365"/>
      <c r="J169" s="365"/>
      <c r="K169" s="366"/>
    </row>
    <row r="170" spans="1:81" x14ac:dyDescent="0.55000000000000004">
      <c r="B170" s="135"/>
      <c r="C170" s="308"/>
      <c r="D170" s="302" t="s">
        <v>26</v>
      </c>
      <c r="E170" s="308"/>
      <c r="F170" s="308"/>
      <c r="G170" s="302" t="s">
        <v>27</v>
      </c>
      <c r="H170" s="308"/>
      <c r="I170" s="308"/>
      <c r="J170" s="302" t="s">
        <v>28</v>
      </c>
      <c r="K170" s="148"/>
    </row>
    <row r="171" spans="1:81" x14ac:dyDescent="0.55000000000000004">
      <c r="B171" s="135"/>
      <c r="C171" s="308"/>
      <c r="D171" s="302"/>
      <c r="E171" s="308"/>
      <c r="F171" s="308"/>
      <c r="G171" s="302"/>
      <c r="H171" s="308"/>
      <c r="I171" s="308"/>
      <c r="J171" s="302"/>
      <c r="K171" s="148"/>
    </row>
    <row r="172" spans="1:81" x14ac:dyDescent="0.55000000000000004">
      <c r="B172" s="311" t="str">
        <f>GCT!B40</f>
        <v>Refinery product 1 (main)</v>
      </c>
      <c r="C172" s="312"/>
      <c r="D172" s="327" t="e">
        <f>H40*$E$165*((GCT!$G$28/GCT!$G$27))/GCT!$G$27</f>
        <v>#DIV/0!</v>
      </c>
      <c r="E172" s="326"/>
      <c r="F172" s="326"/>
      <c r="G172" s="327" t="e">
        <f>K40*$G$165*((GCT!$J$28/GCT!$J$27))/GCT!$J$27</f>
        <v>#DIV/0!</v>
      </c>
      <c r="H172" s="326"/>
      <c r="I172" s="326"/>
      <c r="J172" s="327" t="e">
        <f>N40*$I$165*((GCT!$M$28/GCT!$M$27))/GCT!$M$27</f>
        <v>#DIV/0!</v>
      </c>
      <c r="K172" s="148"/>
    </row>
    <row r="173" spans="1:81" s="1" customFormat="1" x14ac:dyDescent="0.55000000000000004">
      <c r="A173" s="344"/>
      <c r="B173" s="311" t="str">
        <f>GCT!B41</f>
        <v>Refinery product 2</v>
      </c>
      <c r="C173" s="312"/>
      <c r="D173" s="328" t="e">
        <f>H41*GCT!$E$165*((GCT!$G$28/GCT!$G$27))/GCT!$G$27</f>
        <v>#DIV/0!</v>
      </c>
      <c r="E173" s="326"/>
      <c r="F173" s="326"/>
      <c r="G173" s="328" t="e">
        <f>K41*$G$165*((GCT!$J$28/GCT!$J$27))/GCT!$J$27</f>
        <v>#DIV/0!</v>
      </c>
      <c r="H173" s="326"/>
      <c r="I173" s="326"/>
      <c r="J173" s="328" t="e">
        <f>N41*$I$165*((GCT!$M$28/GCT!$M$27))/GCT!$M$27</f>
        <v>#DIV/0!</v>
      </c>
      <c r="K173" s="370"/>
      <c r="L173" s="344"/>
      <c r="M173" s="344"/>
      <c r="N173" s="344"/>
      <c r="O173" s="344"/>
      <c r="P173" s="344"/>
      <c r="Q173" s="344"/>
      <c r="R173" s="344"/>
      <c r="S173" s="344"/>
      <c r="T173" s="344"/>
      <c r="U173" s="344"/>
      <c r="V173" s="344"/>
      <c r="W173" s="344"/>
      <c r="X173" s="344"/>
      <c r="Y173" s="344"/>
      <c r="Z173" s="344"/>
      <c r="AA173" s="344"/>
      <c r="AB173" s="344"/>
      <c r="AC173" s="344"/>
      <c r="AD173" s="344"/>
      <c r="AE173" s="344"/>
      <c r="AF173" s="344"/>
      <c r="AG173" s="344"/>
      <c r="AH173" s="344"/>
      <c r="AI173" s="344"/>
      <c r="AJ173" s="344"/>
      <c r="AK173" s="344"/>
      <c r="AL173" s="344"/>
      <c r="AM173" s="344"/>
      <c r="AN173" s="344"/>
      <c r="AO173" s="344"/>
      <c r="AP173" s="344"/>
      <c r="AQ173" s="344"/>
      <c r="AR173" s="344"/>
      <c r="AS173" s="344"/>
      <c r="AT173" s="344"/>
      <c r="AU173" s="344"/>
      <c r="AV173" s="344"/>
      <c r="AW173" s="344"/>
      <c r="AX173" s="344"/>
      <c r="AY173" s="344"/>
      <c r="AZ173" s="344"/>
      <c r="BA173" s="344"/>
      <c r="BB173" s="344"/>
      <c r="BC173" s="344"/>
      <c r="BD173" s="344"/>
      <c r="BE173" s="344"/>
      <c r="BF173" s="344"/>
      <c r="BG173" s="344"/>
      <c r="BH173" s="344"/>
      <c r="BI173" s="344"/>
      <c r="BJ173" s="344"/>
      <c r="BK173" s="344"/>
      <c r="BL173" s="344"/>
      <c r="BM173" s="344"/>
      <c r="BN173" s="344"/>
      <c r="BO173" s="344"/>
      <c r="BP173" s="344"/>
      <c r="BQ173" s="344"/>
      <c r="BR173" s="344"/>
      <c r="BS173" s="344"/>
      <c r="BT173" s="344"/>
      <c r="BU173" s="344"/>
      <c r="BV173" s="344"/>
      <c r="BW173" s="344"/>
      <c r="BX173" s="344"/>
      <c r="BY173" s="344"/>
      <c r="BZ173" s="344"/>
      <c r="CA173" s="344"/>
      <c r="CB173" s="344"/>
      <c r="CC173" s="344"/>
    </row>
    <row r="174" spans="1:81" x14ac:dyDescent="0.55000000000000004">
      <c r="B174" s="311" t="str">
        <f>GCT!B42</f>
        <v>Refinery product 3</v>
      </c>
      <c r="C174" s="312"/>
      <c r="D174" s="328" t="e">
        <f>H42*GCT!$E$165*((GCT!$G$28/GCT!$G$27))/GCT!$G$27</f>
        <v>#DIV/0!</v>
      </c>
      <c r="E174" s="326"/>
      <c r="F174" s="326"/>
      <c r="G174" s="328" t="e">
        <f>K42*$G$165*((GCT!$J$28/GCT!$J$27))/GCT!$J$27</f>
        <v>#DIV/0!</v>
      </c>
      <c r="H174" s="326"/>
      <c r="I174" s="326"/>
      <c r="J174" s="328" t="e">
        <f>N42*$I$165*((GCT!$M$28/GCT!$M$27))/GCT!$M$27</f>
        <v>#DIV/0!</v>
      </c>
      <c r="K174" s="148"/>
    </row>
    <row r="175" spans="1:81" x14ac:dyDescent="0.55000000000000004">
      <c r="B175" s="311" t="str">
        <f>GCT!B43</f>
        <v>Refinery product 4</v>
      </c>
      <c r="C175" s="312"/>
      <c r="D175" s="328" t="e">
        <f>H43*GCT!$E$165*((GCT!$G$28/GCT!$G$27))/GCT!$G$27</f>
        <v>#DIV/0!</v>
      </c>
      <c r="E175" s="326"/>
      <c r="F175" s="326"/>
      <c r="G175" s="328" t="e">
        <f>K43*$G$165*((GCT!$J$28/GCT!$J$27))/GCT!$J$27</f>
        <v>#DIV/0!</v>
      </c>
      <c r="H175" s="326"/>
      <c r="I175" s="326"/>
      <c r="J175" s="328" t="e">
        <f>N43*$I$165*((GCT!$M$28/GCT!$M$27))/GCT!$M$27</f>
        <v>#DIV/0!</v>
      </c>
      <c r="K175" s="148"/>
    </row>
    <row r="176" spans="1:81" x14ac:dyDescent="0.55000000000000004">
      <c r="B176" s="311" t="str">
        <f>GCT!B44</f>
        <v>Refinery product 5</v>
      </c>
      <c r="C176" s="312"/>
      <c r="D176" s="329" t="e">
        <f>H44*GCT!$E$165*((GCT!$G$28/GCT!$G$27))/GCT!$G$27</f>
        <v>#DIV/0!</v>
      </c>
      <c r="E176" s="326"/>
      <c r="F176" s="326"/>
      <c r="G176" s="329" t="e">
        <f>K44*$G$165*((GCT!$J$28/GCT!$J$27))/GCT!$J$27</f>
        <v>#DIV/0!</v>
      </c>
      <c r="H176" s="326"/>
      <c r="I176" s="326"/>
      <c r="J176" s="329" t="e">
        <f>N44*$I$165*((GCT!$M$28/GCT!$M$27))/GCT!$M$27</f>
        <v>#DIV/0!</v>
      </c>
      <c r="K176" s="148"/>
    </row>
    <row r="177" spans="1:81" x14ac:dyDescent="0.55000000000000004">
      <c r="B177" s="311" t="str">
        <f>GCT!B45</f>
        <v>Refinery product 6</v>
      </c>
      <c r="C177" s="312"/>
      <c r="D177" s="333" t="e">
        <f>H45*GCT!$E$165*((GCT!$G$28/GCT!$G$27))/GCT!$G$27</f>
        <v>#DIV/0!</v>
      </c>
      <c r="E177" s="326"/>
      <c r="F177" s="326"/>
      <c r="G177" s="333" t="e">
        <f>K45*$G$165*((GCT!$J$28/GCT!$J$27))/GCT!$J$27</f>
        <v>#DIV/0!</v>
      </c>
      <c r="H177" s="326"/>
      <c r="I177" s="326"/>
      <c r="J177" s="333" t="e">
        <f>N45*$I$165*((GCT!$M$28/GCT!$M$27))/GCT!$M$27</f>
        <v>#DIV/0!</v>
      </c>
      <c r="K177" s="148"/>
    </row>
    <row r="178" spans="1:81" x14ac:dyDescent="0.55000000000000004">
      <c r="B178" s="311" t="str">
        <f>GCT!B46</f>
        <v>Refinery product 7</v>
      </c>
      <c r="C178" s="312"/>
      <c r="D178" s="333" t="e">
        <f>H46*GCT!$E$165*((GCT!$G$28/GCT!$G$27))/GCT!$G$27</f>
        <v>#DIV/0!</v>
      </c>
      <c r="E178" s="326"/>
      <c r="F178" s="326"/>
      <c r="G178" s="333" t="e">
        <f>K46*$G$165*((GCT!$J$28/GCT!$J$27))/GCT!$J$27</f>
        <v>#DIV/0!</v>
      </c>
      <c r="H178" s="326"/>
      <c r="I178" s="326"/>
      <c r="J178" s="333" t="e">
        <f>N46*$I$165*((GCT!$M$28/GCT!$M$27))/GCT!$M$27</f>
        <v>#DIV/0!</v>
      </c>
      <c r="K178" s="148"/>
    </row>
    <row r="179" spans="1:81" s="51" customFormat="1" x14ac:dyDescent="0.55000000000000004">
      <c r="A179" s="136"/>
      <c r="B179" s="135"/>
      <c r="C179" s="312"/>
      <c r="D179" s="334"/>
      <c r="E179" s="354"/>
      <c r="F179" s="354"/>
      <c r="G179" s="336"/>
      <c r="H179" s="354"/>
      <c r="I179" s="354"/>
      <c r="J179" s="336"/>
      <c r="K179" s="148"/>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136"/>
      <c r="CA179" s="136"/>
      <c r="CB179" s="136"/>
      <c r="CC179" s="136"/>
    </row>
    <row r="180" spans="1:81" s="51" customFormat="1" x14ac:dyDescent="0.55000000000000004">
      <c r="A180" s="136"/>
      <c r="B180" s="135"/>
      <c r="C180" s="312"/>
      <c r="D180" s="334"/>
      <c r="E180" s="354"/>
      <c r="F180" s="354"/>
      <c r="G180" s="336"/>
      <c r="H180" s="354"/>
      <c r="I180" s="354"/>
      <c r="J180" s="336"/>
      <c r="K180" s="148"/>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row>
    <row r="181" spans="1:81" s="51" customFormat="1" x14ac:dyDescent="0.55000000000000004">
      <c r="A181" s="136"/>
      <c r="B181" s="305" t="s">
        <v>411</v>
      </c>
      <c r="C181" s="306"/>
      <c r="D181" s="306"/>
      <c r="E181" s="306"/>
      <c r="F181" s="306"/>
      <c r="G181" s="306"/>
      <c r="H181" s="306"/>
      <c r="I181" s="306"/>
      <c r="J181" s="306"/>
      <c r="K181" s="307"/>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6"/>
      <c r="BI181" s="136"/>
      <c r="BJ181" s="136"/>
      <c r="BK181" s="136"/>
      <c r="BL181" s="136"/>
      <c r="BM181" s="136"/>
      <c r="BN181" s="136"/>
      <c r="BO181" s="136"/>
      <c r="BP181" s="136"/>
      <c r="BQ181" s="136"/>
      <c r="BR181" s="136"/>
      <c r="BS181" s="136"/>
      <c r="BT181" s="136"/>
      <c r="BU181" s="136"/>
      <c r="BV181" s="136"/>
      <c r="BW181" s="136"/>
      <c r="BX181" s="136"/>
      <c r="BY181" s="136"/>
      <c r="BZ181" s="136"/>
      <c r="CA181" s="136"/>
      <c r="CB181" s="136"/>
      <c r="CC181" s="136"/>
    </row>
    <row r="182" spans="1:81" s="51" customFormat="1" x14ac:dyDescent="0.55000000000000004">
      <c r="A182" s="136"/>
      <c r="B182" s="135"/>
      <c r="C182" s="137"/>
      <c r="D182" s="309" t="s">
        <v>26</v>
      </c>
      <c r="E182" s="308"/>
      <c r="F182" s="308"/>
      <c r="G182" s="309" t="s">
        <v>27</v>
      </c>
      <c r="H182" s="308"/>
      <c r="I182" s="308"/>
      <c r="J182" s="309" t="s">
        <v>28</v>
      </c>
      <c r="K182" s="148"/>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c r="BI182" s="136"/>
      <c r="BJ182" s="136"/>
      <c r="BK182" s="136"/>
      <c r="BL182" s="136"/>
      <c r="BM182" s="136"/>
      <c r="BN182" s="136"/>
      <c r="BO182" s="136"/>
      <c r="BP182" s="136"/>
      <c r="BQ182" s="136"/>
      <c r="BR182" s="136"/>
      <c r="BS182" s="136"/>
      <c r="BT182" s="136"/>
      <c r="BU182" s="136"/>
      <c r="BV182" s="136"/>
      <c r="BW182" s="136"/>
      <c r="BX182" s="136"/>
      <c r="BY182" s="136"/>
      <c r="BZ182" s="136"/>
      <c r="CA182" s="136"/>
      <c r="CB182" s="136"/>
      <c r="CC182" s="136"/>
    </row>
    <row r="183" spans="1:81" s="51" customFormat="1" x14ac:dyDescent="0.55000000000000004">
      <c r="A183" s="136"/>
      <c r="B183" s="311" t="s">
        <v>407</v>
      </c>
      <c r="C183" s="137"/>
      <c r="D183" s="140" t="str">
        <f>B40</f>
        <v>Refinery product 1 (main)</v>
      </c>
      <c r="E183" s="335"/>
      <c r="F183" s="335"/>
      <c r="G183" s="140" t="str">
        <f>B40</f>
        <v>Refinery product 1 (main)</v>
      </c>
      <c r="H183" s="335"/>
      <c r="I183" s="335"/>
      <c r="J183" s="140" t="str">
        <f>B40</f>
        <v>Refinery product 1 (main)</v>
      </c>
      <c r="K183" s="148"/>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c r="BD183" s="136"/>
      <c r="BE183" s="136"/>
      <c r="BF183" s="136"/>
      <c r="BG183" s="136"/>
      <c r="BH183" s="136"/>
      <c r="BI183" s="136"/>
      <c r="BJ183" s="136"/>
      <c r="BK183" s="136"/>
      <c r="BL183" s="136"/>
      <c r="BM183" s="136"/>
      <c r="BN183" s="136"/>
      <c r="BO183" s="136"/>
      <c r="BP183" s="136"/>
      <c r="BQ183" s="136"/>
      <c r="BR183" s="136"/>
      <c r="BS183" s="136"/>
      <c r="BT183" s="136"/>
      <c r="BU183" s="136"/>
      <c r="BV183" s="136"/>
      <c r="BW183" s="136"/>
      <c r="BX183" s="136"/>
      <c r="BY183" s="136"/>
      <c r="BZ183" s="136"/>
      <c r="CA183" s="136"/>
      <c r="CB183" s="136"/>
      <c r="CC183" s="136"/>
    </row>
    <row r="184" spans="1:81" s="51" customFormat="1" x14ac:dyDescent="0.55000000000000004">
      <c r="A184" s="136"/>
      <c r="B184" s="311" t="s">
        <v>408</v>
      </c>
      <c r="C184" s="137"/>
      <c r="D184" s="371" t="e">
        <f>E165*(G28/G27)</f>
        <v>#DIV/0!</v>
      </c>
      <c r="E184" s="372"/>
      <c r="F184" s="372"/>
      <c r="G184" s="371" t="e">
        <f>G165*(J28/J27)</f>
        <v>#DIV/0!</v>
      </c>
      <c r="H184" s="372"/>
      <c r="I184" s="372"/>
      <c r="J184" s="371" t="e">
        <f>I165*(M28/M27)</f>
        <v>#DIV/0!</v>
      </c>
      <c r="K184" s="148"/>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c r="BH184" s="136"/>
      <c r="BI184" s="136"/>
      <c r="BJ184" s="136"/>
      <c r="BK184" s="136"/>
      <c r="BL184" s="136"/>
      <c r="BM184" s="136"/>
      <c r="BN184" s="136"/>
      <c r="BO184" s="136"/>
      <c r="BP184" s="136"/>
      <c r="BQ184" s="136"/>
      <c r="BR184" s="136"/>
      <c r="BS184" s="136"/>
      <c r="BT184" s="136"/>
      <c r="BU184" s="136"/>
      <c r="BV184" s="136"/>
      <c r="BW184" s="136"/>
      <c r="BX184" s="136"/>
      <c r="BY184" s="136"/>
      <c r="BZ184" s="136"/>
      <c r="CA184" s="136"/>
      <c r="CB184" s="136"/>
      <c r="CC184" s="136"/>
    </row>
    <row r="185" spans="1:81" s="51" customFormat="1" ht="14.7" thickBot="1" x14ac:dyDescent="0.6">
      <c r="A185" s="136"/>
      <c r="B185" s="339"/>
      <c r="C185" s="373"/>
      <c r="D185" s="340"/>
      <c r="E185" s="374"/>
      <c r="F185" s="374"/>
      <c r="G185" s="342"/>
      <c r="H185" s="374"/>
      <c r="I185" s="374"/>
      <c r="J185" s="342"/>
      <c r="K185" s="343"/>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c r="BI185" s="136"/>
      <c r="BJ185" s="136"/>
      <c r="BK185" s="136"/>
      <c r="BL185" s="136"/>
      <c r="BM185" s="136"/>
      <c r="BN185" s="136"/>
      <c r="BO185" s="136"/>
      <c r="BP185" s="136"/>
      <c r="BQ185" s="136"/>
      <c r="BR185" s="136"/>
      <c r="BS185" s="136"/>
      <c r="BT185" s="136"/>
      <c r="BU185" s="136"/>
      <c r="BV185" s="136"/>
      <c r="BW185" s="136"/>
      <c r="BX185" s="136"/>
      <c r="BY185" s="136"/>
      <c r="BZ185" s="136"/>
      <c r="CA185" s="136"/>
      <c r="CB185" s="136"/>
      <c r="CC185" s="136"/>
    </row>
    <row r="186" spans="1:81" s="51" customFormat="1" x14ac:dyDescent="0.55000000000000004">
      <c r="A186" s="136"/>
      <c r="B186" s="137"/>
      <c r="C186" s="312"/>
      <c r="D186" s="334"/>
      <c r="E186" s="354"/>
      <c r="F186" s="354"/>
      <c r="G186" s="336"/>
      <c r="H186" s="354"/>
      <c r="I186" s="354"/>
      <c r="J186" s="336"/>
      <c r="K186" s="137"/>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c r="BH186" s="136"/>
      <c r="BI186" s="136"/>
      <c r="BJ186" s="136"/>
      <c r="BK186" s="136"/>
      <c r="BL186" s="136"/>
      <c r="BM186" s="136"/>
      <c r="BN186" s="136"/>
      <c r="BO186" s="136"/>
      <c r="BP186" s="136"/>
      <c r="BQ186" s="136"/>
      <c r="BR186" s="136"/>
      <c r="BS186" s="136"/>
      <c r="BT186" s="136"/>
      <c r="BU186" s="136"/>
      <c r="BV186" s="136"/>
      <c r="BW186" s="136"/>
      <c r="BX186" s="136"/>
      <c r="BY186" s="136"/>
      <c r="BZ186" s="136"/>
      <c r="CA186" s="136"/>
      <c r="CB186" s="136"/>
      <c r="CC186" s="136"/>
    </row>
    <row r="187" spans="1:81" s="51" customFormat="1" x14ac:dyDescent="0.55000000000000004">
      <c r="A187" s="136"/>
      <c r="B187" s="137"/>
      <c r="C187" s="312"/>
      <c r="D187" s="334"/>
      <c r="E187" s="354"/>
      <c r="F187" s="354"/>
      <c r="G187" s="336"/>
      <c r="H187" s="354"/>
      <c r="I187" s="354"/>
      <c r="J187" s="336"/>
      <c r="K187" s="137"/>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36"/>
      <c r="AZ187" s="136"/>
      <c r="BA187" s="136"/>
      <c r="BB187" s="136"/>
      <c r="BC187" s="136"/>
      <c r="BD187" s="136"/>
      <c r="BE187" s="136"/>
      <c r="BF187" s="136"/>
      <c r="BG187" s="136"/>
      <c r="BH187" s="136"/>
      <c r="BI187" s="136"/>
      <c r="BJ187" s="136"/>
      <c r="BK187" s="136"/>
      <c r="BL187" s="136"/>
      <c r="BM187" s="136"/>
      <c r="BN187" s="136"/>
      <c r="BO187" s="136"/>
      <c r="BP187" s="136"/>
      <c r="BQ187" s="136"/>
      <c r="BR187" s="136"/>
      <c r="BS187" s="136"/>
      <c r="BT187" s="136"/>
      <c r="BU187" s="136"/>
      <c r="BV187" s="136"/>
      <c r="BW187" s="136"/>
      <c r="BX187" s="136"/>
      <c r="BY187" s="136"/>
      <c r="BZ187" s="136"/>
      <c r="CA187" s="136"/>
      <c r="CB187" s="136"/>
      <c r="CC187" s="136"/>
    </row>
    <row r="188" spans="1:81" ht="14.7" thickBot="1" x14ac:dyDescent="0.6"/>
    <row r="189" spans="1:81" ht="15.6" x14ac:dyDescent="0.6">
      <c r="B189" s="375"/>
      <c r="C189" s="376" t="s">
        <v>403</v>
      </c>
      <c r="D189" s="377" t="s">
        <v>404</v>
      </c>
    </row>
    <row r="190" spans="1:81" ht="15.9" thickBot="1" x14ac:dyDescent="0.65">
      <c r="B190" s="378" t="s">
        <v>402</v>
      </c>
      <c r="C190" s="84"/>
      <c r="D190" s="85"/>
    </row>
    <row r="193" spans="1:81" s="1" customFormat="1" x14ac:dyDescent="0.55000000000000004">
      <c r="A193" s="344"/>
      <c r="B193" s="344"/>
      <c r="C193" s="344"/>
      <c r="D193" s="344"/>
      <c r="E193" s="344"/>
      <c r="F193" s="344"/>
      <c r="G193" s="344"/>
      <c r="H193" s="344"/>
      <c r="I193" s="344"/>
      <c r="J193" s="344"/>
      <c r="K193" s="344"/>
      <c r="L193" s="344"/>
      <c r="M193" s="344"/>
      <c r="N193" s="344"/>
      <c r="O193" s="344"/>
      <c r="P193" s="344"/>
      <c r="Q193" s="344"/>
      <c r="R193" s="344"/>
      <c r="S193" s="344"/>
      <c r="T193" s="344"/>
      <c r="U193" s="344"/>
      <c r="V193" s="344"/>
      <c r="W193" s="344"/>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c r="AS193" s="344"/>
      <c r="AT193" s="344"/>
      <c r="AU193" s="344"/>
      <c r="AV193" s="344"/>
      <c r="AW193" s="344"/>
      <c r="AX193" s="344"/>
      <c r="AY193" s="344"/>
      <c r="AZ193" s="344"/>
      <c r="BA193" s="344"/>
      <c r="BB193" s="344"/>
      <c r="BC193" s="344"/>
      <c r="BD193" s="344"/>
      <c r="BE193" s="344"/>
      <c r="BF193" s="344"/>
      <c r="BG193" s="344"/>
      <c r="BH193" s="344"/>
      <c r="BI193" s="344"/>
      <c r="BJ193" s="344"/>
      <c r="BK193" s="344"/>
      <c r="BL193" s="344"/>
      <c r="BM193" s="344"/>
      <c r="BN193" s="344"/>
      <c r="BO193" s="344"/>
      <c r="BP193" s="344"/>
      <c r="BQ193" s="344"/>
      <c r="BR193" s="344"/>
      <c r="BS193" s="344"/>
      <c r="BT193" s="344"/>
      <c r="BU193" s="344"/>
      <c r="BV193" s="344"/>
      <c r="BW193" s="344"/>
      <c r="BX193" s="344"/>
      <c r="BY193" s="344"/>
      <c r="BZ193" s="344"/>
      <c r="CA193" s="344"/>
      <c r="CB193" s="344"/>
      <c r="CC193" s="344"/>
    </row>
    <row r="200" spans="1:81" x14ac:dyDescent="0.55000000000000004">
      <c r="M200" s="379"/>
      <c r="N200" s="379"/>
    </row>
    <row r="201" spans="1:81" x14ac:dyDescent="0.55000000000000004">
      <c r="M201" s="379"/>
      <c r="N201" s="379"/>
    </row>
    <row r="202" spans="1:81" x14ac:dyDescent="0.55000000000000004">
      <c r="M202" s="379"/>
      <c r="N202" s="379"/>
    </row>
    <row r="203" spans="1:81" s="1" customFormat="1" x14ac:dyDescent="0.55000000000000004">
      <c r="A203" s="344"/>
      <c r="B203" s="344"/>
      <c r="C203" s="344"/>
      <c r="D203" s="344"/>
      <c r="E203" s="344"/>
      <c r="F203" s="344"/>
      <c r="G203" s="344"/>
      <c r="H203" s="344"/>
      <c r="I203" s="344"/>
      <c r="J203" s="344"/>
      <c r="K203" s="344"/>
      <c r="L203" s="344"/>
      <c r="M203" s="344"/>
      <c r="N203" s="344"/>
      <c r="O203" s="344"/>
      <c r="P203" s="344"/>
      <c r="Q203" s="344"/>
      <c r="R203" s="344"/>
      <c r="S203" s="344"/>
      <c r="T203" s="344"/>
      <c r="U203" s="344"/>
      <c r="V203" s="344"/>
      <c r="W203" s="344"/>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c r="AS203" s="344"/>
      <c r="AT203" s="344"/>
      <c r="AU203" s="344"/>
      <c r="AV203" s="344"/>
      <c r="AW203" s="344"/>
      <c r="AX203" s="344"/>
      <c r="AY203" s="344"/>
      <c r="AZ203" s="344"/>
      <c r="BA203" s="344"/>
      <c r="BB203" s="344"/>
      <c r="BC203" s="344"/>
      <c r="BD203" s="344"/>
      <c r="BE203" s="344"/>
      <c r="BF203" s="344"/>
      <c r="BG203" s="344"/>
      <c r="BH203" s="344"/>
      <c r="BI203" s="344"/>
      <c r="BJ203" s="344"/>
      <c r="BK203" s="344"/>
      <c r="BL203" s="344"/>
      <c r="BM203" s="344"/>
      <c r="BN203" s="344"/>
      <c r="BO203" s="344"/>
      <c r="BP203" s="344"/>
      <c r="BQ203" s="344"/>
      <c r="BR203" s="344"/>
      <c r="BS203" s="344"/>
      <c r="BT203" s="344"/>
      <c r="BU203" s="344"/>
      <c r="BV203" s="344"/>
      <c r="BW203" s="344"/>
      <c r="BX203" s="344"/>
      <c r="BY203" s="344"/>
      <c r="BZ203" s="344"/>
      <c r="CA203" s="344"/>
      <c r="CB203" s="344"/>
      <c r="CC203" s="344"/>
    </row>
    <row r="210" spans="3:14" x14ac:dyDescent="0.55000000000000004">
      <c r="G210" s="379"/>
      <c r="H210" s="379"/>
      <c r="I210" s="379"/>
      <c r="J210" s="379"/>
      <c r="K210" s="379"/>
      <c r="L210" s="379"/>
      <c r="M210" s="379"/>
      <c r="N210" s="379"/>
    </row>
    <row r="211" spans="3:14" x14ac:dyDescent="0.55000000000000004">
      <c r="G211" s="379"/>
      <c r="H211" s="379"/>
      <c r="I211" s="379"/>
      <c r="J211" s="379"/>
      <c r="K211" s="379"/>
      <c r="L211" s="379"/>
      <c r="M211" s="379"/>
      <c r="N211" s="379"/>
    </row>
    <row r="212" spans="3:14" x14ac:dyDescent="0.55000000000000004">
      <c r="G212" s="379"/>
      <c r="H212" s="379"/>
      <c r="I212" s="379"/>
      <c r="J212" s="379"/>
      <c r="K212" s="379"/>
      <c r="L212" s="379"/>
      <c r="M212" s="379"/>
      <c r="N212" s="379"/>
    </row>
    <row r="213" spans="3:14" x14ac:dyDescent="0.55000000000000004">
      <c r="G213" s="379"/>
      <c r="H213" s="379"/>
      <c r="I213" s="379"/>
      <c r="J213" s="379"/>
      <c r="K213" s="379"/>
      <c r="L213" s="379"/>
      <c r="M213" s="379"/>
      <c r="N213" s="379"/>
    </row>
    <row r="220" spans="3:14" x14ac:dyDescent="0.55000000000000004">
      <c r="C220" s="379"/>
      <c r="D220" s="379"/>
      <c r="E220" s="379"/>
    </row>
    <row r="221" spans="3:14" x14ac:dyDescent="0.55000000000000004">
      <c r="C221" s="379"/>
      <c r="D221" s="379"/>
      <c r="E221" s="379"/>
      <c r="G221" s="379"/>
      <c r="H221" s="379"/>
      <c r="I221" s="379"/>
      <c r="J221" s="379"/>
    </row>
    <row r="222" spans="3:14" x14ac:dyDescent="0.55000000000000004">
      <c r="C222" s="379"/>
      <c r="D222" s="379"/>
      <c r="E222" s="379"/>
      <c r="G222" s="379"/>
      <c r="H222" s="379"/>
      <c r="I222" s="379"/>
      <c r="J222" s="379"/>
    </row>
    <row r="223" spans="3:14" x14ac:dyDescent="0.55000000000000004">
      <c r="C223" s="379"/>
      <c r="D223" s="379"/>
      <c r="E223" s="379"/>
      <c r="G223" s="379"/>
      <c r="H223" s="379"/>
      <c r="I223" s="379"/>
      <c r="J223" s="379"/>
    </row>
  </sheetData>
  <sheetProtection algorithmName="SHA-512" hashValue="ziF4nju7vfIV7p+cdhmTZsNSTHK7T57CdSmNwpMWSyll9dVliYaM2V9dICEPHt9IUaW0gV6URxGTufV4lAtaeg==" saltValue="x15fJHD2LBhRdCzzxZ5LPg==" spinCount="100000" sheet="1" objects="1" scenarios="1" selectLockedCells="1"/>
  <dataConsolidate/>
  <mergeCells count="43">
    <mergeCell ref="D10:E10"/>
    <mergeCell ref="B23:N23"/>
    <mergeCell ref="D37:E37"/>
    <mergeCell ref="M38:N38"/>
    <mergeCell ref="G37:H37"/>
    <mergeCell ref="J37:K37"/>
    <mergeCell ref="M37:N37"/>
    <mergeCell ref="D38:E38"/>
    <mergeCell ref="G38:H38"/>
    <mergeCell ref="J38:K38"/>
    <mergeCell ref="M24:N24"/>
    <mergeCell ref="D24:E24"/>
    <mergeCell ref="G24:H24"/>
    <mergeCell ref="J24:K24"/>
    <mergeCell ref="C65:H65"/>
    <mergeCell ref="E66:E67"/>
    <mergeCell ref="G66:G67"/>
    <mergeCell ref="E109:E111"/>
    <mergeCell ref="H109:H111"/>
    <mergeCell ref="B71:K71"/>
    <mergeCell ref="B84:K84"/>
    <mergeCell ref="B161:K161"/>
    <mergeCell ref="D163:I163"/>
    <mergeCell ref="C108:J108"/>
    <mergeCell ref="C109:D109"/>
    <mergeCell ref="F109:G109"/>
    <mergeCell ref="I109:J109"/>
    <mergeCell ref="R24:T24"/>
    <mergeCell ref="B96:K96"/>
    <mergeCell ref="B127:K127"/>
    <mergeCell ref="B154:K154"/>
    <mergeCell ref="B181:K181"/>
    <mergeCell ref="F164:F165"/>
    <mergeCell ref="H164:H165"/>
    <mergeCell ref="B169:K169"/>
    <mergeCell ref="B115:K115"/>
    <mergeCell ref="B142:K142"/>
    <mergeCell ref="C137:J137"/>
    <mergeCell ref="E138:F138"/>
    <mergeCell ref="H138:I138"/>
    <mergeCell ref="B63:K63"/>
    <mergeCell ref="B105:K105"/>
    <mergeCell ref="B135:K135"/>
  </mergeCells>
  <phoneticPr fontId="5"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51A6-2209-4138-B9C8-C9ADA87C0603}">
  <dimension ref="A1:BN97"/>
  <sheetViews>
    <sheetView showGridLines="0" topLeftCell="A49" zoomScale="55" zoomScaleNormal="55" workbookViewId="0">
      <selection activeCell="C89" sqref="C89"/>
    </sheetView>
  </sheetViews>
  <sheetFormatPr defaultRowHeight="14.4" x14ac:dyDescent="0.55000000000000004"/>
  <cols>
    <col min="1" max="1" width="8.83984375" style="136"/>
    <col min="2" max="2" width="52.3125" style="136" customWidth="1"/>
    <col min="3" max="3" width="27.41796875" style="136" customWidth="1"/>
    <col min="4" max="4" width="21.83984375" style="136" customWidth="1"/>
    <col min="5" max="5" width="13.89453125" style="136" customWidth="1"/>
    <col min="6" max="6" width="19.7890625" style="136" bestFit="1" customWidth="1"/>
    <col min="7" max="7" width="18" style="136" customWidth="1"/>
    <col min="8" max="8" width="14.41796875" style="136" customWidth="1"/>
    <col min="9" max="9" width="19.7890625" style="136" bestFit="1" customWidth="1"/>
    <col min="10" max="10" width="19.20703125" style="136" bestFit="1" customWidth="1"/>
    <col min="11" max="11" width="22" style="136" bestFit="1" customWidth="1"/>
    <col min="12" max="12" width="19.7890625" style="136" bestFit="1" customWidth="1"/>
    <col min="13" max="13" width="19.20703125" style="136" bestFit="1" customWidth="1"/>
    <col min="14" max="14" width="21.5234375" style="136" customWidth="1"/>
    <col min="15" max="15" width="36" style="136" bestFit="1" customWidth="1"/>
    <col min="16" max="16" width="11.20703125" style="136" bestFit="1" customWidth="1"/>
    <col min="17" max="22" width="8.7890625" style="136"/>
    <col min="23" max="23" width="8.83984375" style="136"/>
    <col min="24" max="24" width="18.68359375" style="136" bestFit="1" customWidth="1"/>
    <col min="25" max="66" width="8.83984375" style="136"/>
  </cols>
  <sheetData>
    <row r="1" spans="1:66" s="20" customFormat="1" x14ac:dyDescent="0.55000000000000004">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row>
    <row r="2" spans="1:66" s="20" customFormat="1" x14ac:dyDescent="0.55000000000000004">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row>
    <row r="3" spans="1:66" s="20" customFormat="1" ht="15.6" x14ac:dyDescent="0.6">
      <c r="A3" s="136"/>
      <c r="B3" s="229"/>
      <c r="C3" s="229"/>
      <c r="D3" s="230" t="s">
        <v>138</v>
      </c>
      <c r="E3" s="136"/>
      <c r="F3" s="229"/>
      <c r="G3" s="136"/>
      <c r="H3" s="230" t="s">
        <v>377</v>
      </c>
      <c r="I3" s="136"/>
      <c r="J3" s="229"/>
      <c r="K3" s="380" t="s">
        <v>151</v>
      </c>
      <c r="L3" s="229"/>
      <c r="M3" s="229"/>
      <c r="N3" s="229"/>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row>
    <row r="4" spans="1:66" s="20" customFormat="1" x14ac:dyDescent="0.55000000000000004">
      <c r="A4" s="136"/>
      <c r="B4" s="229"/>
      <c r="C4" s="229"/>
      <c r="D4" s="229"/>
      <c r="E4" s="229"/>
      <c r="F4" s="229"/>
      <c r="G4" s="229"/>
      <c r="H4" s="229"/>
      <c r="I4" s="229"/>
      <c r="J4" s="229"/>
      <c r="K4" s="229"/>
      <c r="L4" s="229"/>
      <c r="M4" s="229"/>
      <c r="N4" s="229"/>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row>
    <row r="5" spans="1:66" s="20" customFormat="1" x14ac:dyDescent="0.55000000000000004">
      <c r="A5" s="136"/>
      <c r="B5" s="229"/>
      <c r="C5" s="229"/>
      <c r="D5" s="229"/>
      <c r="E5" s="229"/>
      <c r="F5" s="229"/>
      <c r="G5" s="229"/>
      <c r="H5" s="229"/>
      <c r="I5" s="229"/>
      <c r="J5" s="229"/>
      <c r="K5" s="229"/>
      <c r="L5" s="229"/>
      <c r="M5" s="229"/>
      <c r="N5" s="229"/>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row>
    <row r="6" spans="1:66" s="20" customFormat="1" x14ac:dyDescent="0.55000000000000004">
      <c r="A6" s="136"/>
      <c r="B6" s="229"/>
      <c r="C6" s="229"/>
      <c r="D6" s="229"/>
      <c r="E6" s="136"/>
      <c r="F6" s="229"/>
      <c r="G6" s="229"/>
      <c r="H6" s="229"/>
      <c r="I6" s="229"/>
      <c r="J6" s="229"/>
      <c r="K6" s="229"/>
      <c r="L6" s="229"/>
      <c r="M6" s="229"/>
      <c r="N6" s="229"/>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row>
    <row r="7" spans="1:66" s="20" customFormat="1" x14ac:dyDescent="0.55000000000000004">
      <c r="A7" s="136"/>
      <c r="B7" s="229"/>
      <c r="C7" s="229"/>
      <c r="D7" s="229"/>
      <c r="E7" s="229"/>
      <c r="F7" s="229"/>
      <c r="G7" s="229"/>
      <c r="H7" s="229"/>
      <c r="I7" s="229"/>
      <c r="J7" s="229"/>
      <c r="K7" s="229"/>
      <c r="L7" s="229"/>
      <c r="M7" s="229"/>
      <c r="N7" s="229"/>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row>
    <row r="8" spans="1:66" s="20" customFormat="1" x14ac:dyDescent="0.55000000000000004">
      <c r="A8" s="136"/>
      <c r="B8" s="229"/>
      <c r="C8" s="229"/>
      <c r="D8" s="231"/>
      <c r="E8" s="231"/>
      <c r="F8" s="229"/>
      <c r="G8" s="136"/>
      <c r="H8" s="232"/>
      <c r="I8" s="229"/>
      <c r="J8" s="229"/>
      <c r="K8" s="235"/>
      <c r="L8" s="229"/>
      <c r="M8" s="229"/>
      <c r="N8" s="229"/>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row>
    <row r="9" spans="1:66" s="20" customFormat="1" ht="15.6" x14ac:dyDescent="0.6">
      <c r="A9" s="136"/>
      <c r="B9" s="136"/>
      <c r="C9" s="380" t="s">
        <v>136</v>
      </c>
      <c r="D9" s="231"/>
      <c r="E9" s="231"/>
      <c r="F9" s="236" t="s">
        <v>137</v>
      </c>
      <c r="G9" s="229"/>
      <c r="H9" s="232"/>
      <c r="I9" s="229"/>
      <c r="J9" s="236" t="s">
        <v>140</v>
      </c>
      <c r="K9" s="235"/>
      <c r="L9" s="229"/>
      <c r="M9" s="229"/>
      <c r="N9" s="229"/>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row>
    <row r="10" spans="1:66" s="20" customFormat="1" ht="18.3" x14ac:dyDescent="0.7">
      <c r="A10" s="136"/>
      <c r="B10" s="229"/>
      <c r="C10" s="229"/>
      <c r="D10" s="237" t="str">
        <f>Inventory!G3</f>
        <v>Select</v>
      </c>
      <c r="E10" s="237"/>
      <c r="F10" s="229"/>
      <c r="G10" s="229"/>
      <c r="H10" s="238" t="str">
        <f>Inventory!K3</f>
        <v xml:space="preserve">Upgrading </v>
      </c>
      <c r="I10" s="229"/>
      <c r="J10" s="229"/>
      <c r="K10" s="239" t="str">
        <f>Inventory!O3</f>
        <v>Refinery</v>
      </c>
      <c r="L10" s="229"/>
      <c r="M10" s="230" t="s">
        <v>152</v>
      </c>
      <c r="N10" s="229"/>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row>
    <row r="11" spans="1:66" s="20" customFormat="1" x14ac:dyDescent="0.55000000000000004">
      <c r="A11" s="136"/>
      <c r="B11" s="229"/>
      <c r="C11" s="229"/>
      <c r="D11" s="231"/>
      <c r="E11" s="231"/>
      <c r="F11" s="229"/>
      <c r="G11" s="229"/>
      <c r="H11" s="232"/>
      <c r="I11" s="229"/>
      <c r="J11" s="229"/>
      <c r="K11" s="235"/>
      <c r="L11" s="229"/>
      <c r="M11" s="229"/>
      <c r="N11" s="229"/>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row>
    <row r="12" spans="1:66" s="20" customFormat="1" x14ac:dyDescent="0.55000000000000004">
      <c r="A12" s="136"/>
      <c r="B12" s="229"/>
      <c r="C12" s="229"/>
      <c r="D12" s="240"/>
      <c r="E12" s="240"/>
      <c r="F12" s="229"/>
      <c r="G12" s="136"/>
      <c r="H12" s="241"/>
      <c r="I12" s="229"/>
      <c r="J12" s="229"/>
      <c r="K12" s="235"/>
      <c r="L12" s="229"/>
      <c r="M12" s="229"/>
      <c r="N12" s="229"/>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row>
    <row r="13" spans="1:66" s="20" customFormat="1" x14ac:dyDescent="0.55000000000000004">
      <c r="A13" s="136"/>
      <c r="B13" s="229"/>
      <c r="C13" s="229"/>
      <c r="D13" s="229"/>
      <c r="E13" s="229"/>
      <c r="F13" s="229"/>
      <c r="G13" s="229"/>
      <c r="H13" s="229"/>
      <c r="I13" s="229"/>
      <c r="J13" s="229"/>
      <c r="K13" s="229"/>
      <c r="L13" s="229"/>
      <c r="M13" s="229"/>
      <c r="N13" s="229"/>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row>
    <row r="14" spans="1:66" s="20" customFormat="1" x14ac:dyDescent="0.55000000000000004">
      <c r="A14" s="136"/>
      <c r="B14" s="229"/>
      <c r="C14" s="229"/>
      <c r="D14" s="229"/>
      <c r="E14" s="229"/>
      <c r="F14" s="229"/>
      <c r="G14" s="229"/>
      <c r="H14" s="229"/>
      <c r="I14" s="229"/>
      <c r="J14" s="229"/>
      <c r="K14" s="229"/>
      <c r="L14" s="229"/>
      <c r="M14" s="229"/>
      <c r="N14" s="229"/>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row>
    <row r="15" spans="1:66" s="20" customFormat="1" x14ac:dyDescent="0.55000000000000004">
      <c r="A15" s="136"/>
      <c r="B15" s="229"/>
      <c r="C15" s="229"/>
      <c r="D15" s="229"/>
      <c r="E15" s="229"/>
      <c r="F15" s="229"/>
      <c r="G15" s="229"/>
      <c r="H15" s="229"/>
      <c r="I15" s="229"/>
      <c r="J15" s="229"/>
      <c r="K15" s="229"/>
      <c r="L15" s="229"/>
      <c r="M15" s="229"/>
      <c r="N15" s="229"/>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row>
    <row r="16" spans="1:66" s="20" customFormat="1" x14ac:dyDescent="0.55000000000000004">
      <c r="A16" s="136"/>
      <c r="B16" s="229"/>
      <c r="C16" s="229"/>
      <c r="D16" s="229"/>
      <c r="E16" s="229"/>
      <c r="F16" s="229"/>
      <c r="G16" s="229"/>
      <c r="H16" s="229"/>
      <c r="I16" s="229"/>
      <c r="J16" s="229"/>
      <c r="K16" s="229"/>
      <c r="L16" s="229"/>
      <c r="M16" s="229"/>
      <c r="N16" s="229"/>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row>
    <row r="17" spans="1:66" s="20" customFormat="1" x14ac:dyDescent="0.55000000000000004">
      <c r="A17" s="136"/>
      <c r="B17" s="229"/>
      <c r="C17" s="229"/>
      <c r="D17" s="229"/>
      <c r="E17" s="229"/>
      <c r="F17" s="229"/>
      <c r="G17" s="229"/>
      <c r="H17" s="229"/>
      <c r="I17" s="229"/>
      <c r="J17" s="229"/>
      <c r="K17" s="229"/>
      <c r="L17" s="229"/>
      <c r="M17" s="229"/>
      <c r="N17" s="229"/>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row>
    <row r="18" spans="1:66" s="20" customFormat="1" ht="15.6" x14ac:dyDescent="0.6">
      <c r="A18" s="136"/>
      <c r="B18" s="229"/>
      <c r="C18" s="229"/>
      <c r="D18" s="381" t="s">
        <v>139</v>
      </c>
      <c r="E18" s="382" t="s">
        <v>353</v>
      </c>
      <c r="F18" s="136"/>
      <c r="G18" s="229"/>
      <c r="H18" s="230" t="s">
        <v>378</v>
      </c>
      <c r="I18" s="229"/>
      <c r="J18" s="229"/>
      <c r="K18" s="229"/>
      <c r="L18" s="229"/>
      <c r="M18" s="229"/>
      <c r="N18" s="229"/>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row>
    <row r="19" spans="1:66" s="20" customFormat="1" x14ac:dyDescent="0.55000000000000004">
      <c r="A19" s="136"/>
      <c r="B19" s="229"/>
      <c r="C19" s="229"/>
      <c r="D19" s="229"/>
      <c r="E19" s="229"/>
      <c r="F19" s="229"/>
      <c r="G19" s="229"/>
      <c r="H19" s="229"/>
      <c r="I19" s="229"/>
      <c r="J19" s="229"/>
      <c r="K19" s="229"/>
      <c r="L19" s="229"/>
      <c r="M19" s="229"/>
      <c r="N19" s="229"/>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row>
    <row r="20" spans="1:66" s="20" customFormat="1" x14ac:dyDescent="0.55000000000000004">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row>
    <row r="22" spans="1:66" ht="14.7" thickBot="1" x14ac:dyDescent="0.6"/>
    <row r="23" spans="1:66" ht="40.049999999999997" customHeight="1" x14ac:dyDescent="0.7">
      <c r="B23" s="383" t="s">
        <v>49</v>
      </c>
      <c r="C23" s="384"/>
      <c r="D23" s="384"/>
      <c r="E23" s="385"/>
      <c r="G23" s="248" t="s">
        <v>168</v>
      </c>
      <c r="H23" s="249"/>
      <c r="I23" s="250"/>
      <c r="K23" s="248" t="s">
        <v>389</v>
      </c>
      <c r="L23" s="249"/>
      <c r="M23" s="250"/>
      <c r="AA23" s="386"/>
    </row>
    <row r="24" spans="1:66" s="1" customFormat="1" ht="18.3" x14ac:dyDescent="0.7">
      <c r="A24" s="344"/>
      <c r="B24" s="387" t="s">
        <v>161</v>
      </c>
      <c r="C24" s="388">
        <f>GCT!C190</f>
        <v>0</v>
      </c>
      <c r="D24" s="389"/>
      <c r="E24" s="390"/>
      <c r="F24" s="344"/>
      <c r="G24" s="391" t="s">
        <v>123</v>
      </c>
      <c r="H24" s="392" t="s">
        <v>165</v>
      </c>
      <c r="I24" s="393" t="s">
        <v>68</v>
      </c>
      <c r="J24" s="344"/>
      <c r="K24" s="394" t="s">
        <v>390</v>
      </c>
      <c r="L24" s="344"/>
      <c r="M24" s="395"/>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row>
    <row r="25" spans="1:66" s="1" customFormat="1" ht="18.600000000000001" thickBot="1" x14ac:dyDescent="0.75">
      <c r="A25" s="344"/>
      <c r="B25" s="387" t="s">
        <v>415</v>
      </c>
      <c r="C25" s="396" t="e">
        <f>Inventory!P23/SUM(Inventory!P23:P30)</f>
        <v>#DIV/0!</v>
      </c>
      <c r="D25" s="389"/>
      <c r="E25" s="390"/>
      <c r="F25" s="344"/>
      <c r="G25" s="397" t="s">
        <v>216</v>
      </c>
      <c r="H25" s="398">
        <v>0</v>
      </c>
      <c r="I25" s="393" t="s">
        <v>64</v>
      </c>
      <c r="J25" s="344"/>
      <c r="K25" s="399" t="s">
        <v>391</v>
      </c>
      <c r="L25" s="400"/>
      <c r="M25" s="401"/>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344"/>
      <c r="BK25" s="344"/>
      <c r="BL25" s="344"/>
      <c r="BM25" s="344"/>
      <c r="BN25" s="344"/>
    </row>
    <row r="26" spans="1:66" s="1" customFormat="1" ht="18.3" x14ac:dyDescent="0.7">
      <c r="A26" s="344"/>
      <c r="B26" s="387" t="str">
        <f>"Heat value of " &amp; Inventory!O3&amp; " main product "</f>
        <v xml:space="preserve">Heat value of Refinery main product </v>
      </c>
      <c r="C26" s="86"/>
      <c r="D26" s="402" t="s">
        <v>128</v>
      </c>
      <c r="E26" s="390"/>
      <c r="F26" s="344"/>
      <c r="G26" s="391" t="s">
        <v>162</v>
      </c>
      <c r="H26" s="403">
        <v>0.04</v>
      </c>
      <c r="I26" s="393" t="s">
        <v>64</v>
      </c>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4"/>
      <c r="BK26" s="344"/>
      <c r="BL26" s="344"/>
      <c r="BM26" s="344"/>
      <c r="BN26" s="344"/>
    </row>
    <row r="27" spans="1:66" s="1" customFormat="1" ht="18.3" x14ac:dyDescent="0.7">
      <c r="A27" s="344"/>
      <c r="B27" s="387" t="str">
        <f>"Heat value of " &amp; Inventory!O3&amp; " main product "</f>
        <v xml:space="preserve">Heat value of Refinery main product </v>
      </c>
      <c r="C27" s="404" t="e">
        <f>C26*(Inventory!O22+(IF(Inventory!$L$21&gt;0,Inventory!$L$21,Inventory!$L$20)))*C25*10000</f>
        <v>#DIV/0!</v>
      </c>
      <c r="D27" s="402" t="s">
        <v>419</v>
      </c>
      <c r="E27" s="390"/>
      <c r="F27" s="344"/>
      <c r="G27" s="391" t="s">
        <v>163</v>
      </c>
      <c r="H27" s="403">
        <v>0.52200000000000002</v>
      </c>
      <c r="I27" s="393" t="s">
        <v>64</v>
      </c>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row>
    <row r="28" spans="1:66" s="1" customFormat="1" ht="14.7" thickBot="1" x14ac:dyDescent="0.6">
      <c r="A28" s="344"/>
      <c r="B28" s="405" t="str">
        <f>Inventory!B5</f>
        <v xml:space="preserve">Raw material/Products </v>
      </c>
      <c r="C28" s="406"/>
      <c r="D28" s="407" t="s">
        <v>154</v>
      </c>
      <c r="E28" s="408" t="s">
        <v>68</v>
      </c>
      <c r="F28" s="344"/>
      <c r="G28" s="409" t="s">
        <v>164</v>
      </c>
      <c r="H28" s="410">
        <v>5.9201772852061817E-2</v>
      </c>
      <c r="I28" s="411" t="s">
        <v>64</v>
      </c>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4"/>
      <c r="AY28" s="344"/>
      <c r="AZ28" s="344"/>
      <c r="BA28" s="344"/>
      <c r="BB28" s="344"/>
      <c r="BC28" s="344"/>
      <c r="BD28" s="344"/>
      <c r="BE28" s="344"/>
      <c r="BF28" s="344"/>
      <c r="BG28" s="344"/>
      <c r="BH28" s="344"/>
      <c r="BI28" s="344"/>
      <c r="BJ28" s="344"/>
      <c r="BK28" s="344"/>
      <c r="BL28" s="344"/>
      <c r="BM28" s="344"/>
      <c r="BN28" s="344"/>
    </row>
    <row r="29" spans="1:66" ht="14.7" thickBot="1" x14ac:dyDescent="0.6">
      <c r="B29" s="412"/>
      <c r="C29" s="413" t="str">
        <f>Inventory!C6</f>
        <v>Feedstock 1 (biogenic feedstock)</v>
      </c>
      <c r="D29" s="87"/>
      <c r="E29" s="414" t="s">
        <v>64</v>
      </c>
    </row>
    <row r="30" spans="1:66" ht="18.3" x14ac:dyDescent="0.7">
      <c r="B30" s="412"/>
      <c r="C30" s="252" t="str">
        <f>Inventory!C7</f>
        <v>Feedstock 2</v>
      </c>
      <c r="D30" s="88"/>
      <c r="E30" s="253" t="s">
        <v>64</v>
      </c>
      <c r="G30" s="248" t="s">
        <v>169</v>
      </c>
      <c r="H30" s="249"/>
      <c r="I30" s="250"/>
    </row>
    <row r="31" spans="1:66" x14ac:dyDescent="0.55000000000000004">
      <c r="B31" s="412"/>
      <c r="C31" s="252" t="str">
        <f>Inventory!C8</f>
        <v>Feedstock 3</v>
      </c>
      <c r="D31" s="88"/>
      <c r="E31" s="253" t="s">
        <v>64</v>
      </c>
      <c r="G31" s="254"/>
      <c r="H31" s="255" t="s">
        <v>179</v>
      </c>
      <c r="I31" s="256" t="s">
        <v>180</v>
      </c>
    </row>
    <row r="32" spans="1:66" x14ac:dyDescent="0.55000000000000004">
      <c r="B32" s="412"/>
      <c r="C32" s="252" t="str">
        <f>Inventory!C9</f>
        <v>Feedstock 4</v>
      </c>
      <c r="D32" s="88"/>
      <c r="E32" s="253" t="s">
        <v>64</v>
      </c>
      <c r="G32" s="258" t="s">
        <v>176</v>
      </c>
      <c r="H32" s="259">
        <v>19.98</v>
      </c>
      <c r="I32" s="260">
        <v>18.670000000000002</v>
      </c>
    </row>
    <row r="33" spans="2:9" x14ac:dyDescent="0.55000000000000004">
      <c r="B33" s="412"/>
      <c r="C33" s="252" t="str">
        <f>Inventory!C10</f>
        <v>Nitrogen</v>
      </c>
      <c r="D33" s="89">
        <v>6.6000000000000003E-2</v>
      </c>
      <c r="E33" s="253" t="s">
        <v>64</v>
      </c>
      <c r="G33" s="254" t="s">
        <v>162</v>
      </c>
      <c r="H33" s="264">
        <v>18.899999999999999</v>
      </c>
      <c r="I33" s="265">
        <v>17.489999999999998</v>
      </c>
    </row>
    <row r="34" spans="2:9" x14ac:dyDescent="0.55000000000000004">
      <c r="B34" s="412"/>
      <c r="C34" s="252" t="str">
        <f>Inventory!C11</f>
        <v>Hydrogen</v>
      </c>
      <c r="D34" s="90">
        <v>4.3</v>
      </c>
      <c r="E34" s="253" t="s">
        <v>64</v>
      </c>
      <c r="G34" s="254" t="s">
        <v>177</v>
      </c>
      <c r="H34" s="264">
        <v>20.46</v>
      </c>
      <c r="I34" s="265">
        <v>18.690000000000001</v>
      </c>
    </row>
    <row r="35" spans="2:9" x14ac:dyDescent="0.55000000000000004">
      <c r="B35" s="412"/>
      <c r="C35" s="252" t="str">
        <f>Inventory!C12</f>
        <v>Sulfiding agent</v>
      </c>
      <c r="D35" s="89"/>
      <c r="E35" s="253" t="s">
        <v>64</v>
      </c>
      <c r="G35" s="254" t="s">
        <v>178</v>
      </c>
      <c r="H35" s="264">
        <v>20.329999999999998</v>
      </c>
      <c r="I35" s="265">
        <v>19.02</v>
      </c>
    </row>
    <row r="36" spans="2:9" x14ac:dyDescent="0.55000000000000004">
      <c r="B36" s="412"/>
      <c r="C36" s="252" t="str">
        <f>Inventory!C13</f>
        <v>Catalyst for stabilization reactor</v>
      </c>
      <c r="D36" s="90">
        <v>5.5</v>
      </c>
      <c r="E36" s="253" t="s">
        <v>64</v>
      </c>
      <c r="G36" s="268" t="s">
        <v>444</v>
      </c>
      <c r="H36" s="264">
        <v>17.489999999999998</v>
      </c>
      <c r="I36" s="265">
        <v>19.399999999999999</v>
      </c>
    </row>
    <row r="37" spans="2:9" x14ac:dyDescent="0.55000000000000004">
      <c r="B37" s="412"/>
      <c r="C37" s="252" t="str">
        <f>Inventory!C14</f>
        <v>Catalyst for deoxygenation reactor</v>
      </c>
      <c r="D37" s="90">
        <v>5.5</v>
      </c>
      <c r="E37" s="253" t="s">
        <v>64</v>
      </c>
      <c r="G37" s="254" t="s">
        <v>448</v>
      </c>
      <c r="H37" s="269">
        <v>24.37</v>
      </c>
      <c r="I37" s="270">
        <v>22.6</v>
      </c>
    </row>
    <row r="38" spans="2:9" x14ac:dyDescent="0.55000000000000004">
      <c r="B38" s="412"/>
      <c r="C38" s="252" t="str">
        <f>Inventory!C15</f>
        <v>IX resin</v>
      </c>
      <c r="D38" s="89">
        <v>86</v>
      </c>
      <c r="E38" s="253" t="s">
        <v>64</v>
      </c>
      <c r="G38" s="254" t="s">
        <v>447</v>
      </c>
      <c r="H38" s="264">
        <v>45.17</v>
      </c>
      <c r="I38" s="265">
        <v>42.61</v>
      </c>
    </row>
    <row r="39" spans="2:9" x14ac:dyDescent="0.55000000000000004">
      <c r="B39" s="412"/>
      <c r="C39" s="153" t="s">
        <v>160</v>
      </c>
      <c r="D39" s="91">
        <v>3.0670000000000002</v>
      </c>
      <c r="E39" s="415" t="s">
        <v>64</v>
      </c>
      <c r="G39" s="254" t="s">
        <v>445</v>
      </c>
      <c r="H39" s="264">
        <v>22.83</v>
      </c>
      <c r="I39" s="265">
        <v>21.07</v>
      </c>
    </row>
    <row r="40" spans="2:9" x14ac:dyDescent="0.55000000000000004">
      <c r="B40" s="416" t="str">
        <f>Inventory!B33</f>
        <v xml:space="preserve">Utilities </v>
      </c>
      <c r="C40" s="417"/>
      <c r="D40" s="473"/>
      <c r="E40" s="418"/>
      <c r="G40" s="254" t="s">
        <v>449</v>
      </c>
      <c r="H40" s="269">
        <v>23.33</v>
      </c>
      <c r="I40" s="270">
        <v>21.4</v>
      </c>
    </row>
    <row r="41" spans="2:9" x14ac:dyDescent="0.55000000000000004">
      <c r="B41" s="412"/>
      <c r="C41" s="413" t="str">
        <f>Inventory!C36</f>
        <v>Fresh water</v>
      </c>
      <c r="D41" s="92">
        <v>9.1</v>
      </c>
      <c r="E41" s="253" t="s">
        <v>158</v>
      </c>
      <c r="G41" s="254" t="s">
        <v>446</v>
      </c>
      <c r="H41" s="264">
        <v>45.14</v>
      </c>
      <c r="I41" s="265">
        <v>42.59</v>
      </c>
    </row>
    <row r="42" spans="2:9" x14ac:dyDescent="0.55000000000000004">
      <c r="B42" s="412"/>
      <c r="C42" s="252" t="str">
        <f>Inventory!C37</f>
        <v>cooling water</v>
      </c>
      <c r="D42" s="89">
        <v>0.02</v>
      </c>
      <c r="E42" s="253" t="s">
        <v>388</v>
      </c>
      <c r="G42" s="254" t="s">
        <v>451</v>
      </c>
      <c r="H42" s="264">
        <v>32.36</v>
      </c>
      <c r="I42" s="265">
        <v>30.66</v>
      </c>
    </row>
    <row r="43" spans="2:9" x14ac:dyDescent="0.55000000000000004">
      <c r="B43" s="412"/>
      <c r="C43" s="252" t="str">
        <f>Inventory!C39</f>
        <v>Steam</v>
      </c>
      <c r="D43" s="90">
        <v>0.28599999999999998</v>
      </c>
      <c r="E43" s="253" t="s">
        <v>64</v>
      </c>
      <c r="G43" s="254" t="s">
        <v>450</v>
      </c>
      <c r="H43" s="264">
        <v>47.31</v>
      </c>
      <c r="I43" s="265">
        <v>44.34</v>
      </c>
    </row>
    <row r="44" spans="2:9" x14ac:dyDescent="0.55000000000000004">
      <c r="B44" s="412"/>
      <c r="C44" s="419" t="str">
        <f>Inventory!C40</f>
        <v xml:space="preserve">Electricity </v>
      </c>
      <c r="D44" s="93">
        <v>0.441</v>
      </c>
      <c r="E44" s="253" t="s">
        <v>159</v>
      </c>
      <c r="G44" s="254" t="s">
        <v>452</v>
      </c>
      <c r="H44" s="264">
        <v>38.326624191120658</v>
      </c>
      <c r="I44" s="265">
        <v>36.069086771633948</v>
      </c>
    </row>
    <row r="45" spans="2:9" x14ac:dyDescent="0.55000000000000004">
      <c r="B45" s="416" t="str">
        <f>Inventory!B41</f>
        <v xml:space="preserve">Transport </v>
      </c>
      <c r="C45" s="417"/>
      <c r="D45" s="473"/>
      <c r="E45" s="418"/>
      <c r="G45" s="278" t="s">
        <v>453</v>
      </c>
      <c r="H45" s="264">
        <v>47.09152411316262</v>
      </c>
      <c r="I45" s="265">
        <v>44.388645778721511</v>
      </c>
    </row>
    <row r="46" spans="2:9" x14ac:dyDescent="0.55000000000000004">
      <c r="B46" s="412"/>
      <c r="C46" s="413" t="str">
        <f>Inventory!C42</f>
        <v>Distance 1 (road)</v>
      </c>
      <c r="D46" s="94">
        <v>150</v>
      </c>
      <c r="E46" s="253" t="s">
        <v>305</v>
      </c>
      <c r="G46" s="254" t="s">
        <v>166</v>
      </c>
      <c r="H46" s="264">
        <v>46.97</v>
      </c>
      <c r="I46" s="265">
        <v>42.82</v>
      </c>
    </row>
    <row r="47" spans="2:9" ht="14.7" thickBot="1" x14ac:dyDescent="0.6">
      <c r="B47" s="412"/>
      <c r="C47" s="252" t="str">
        <f>Inventory!C43</f>
        <v>Distance 2 (train)</v>
      </c>
      <c r="D47" s="95">
        <v>20</v>
      </c>
      <c r="E47" s="253" t="s">
        <v>305</v>
      </c>
      <c r="G47" s="281" t="s">
        <v>160</v>
      </c>
      <c r="H47" s="282">
        <v>46.37</v>
      </c>
      <c r="I47" s="283">
        <v>44.15</v>
      </c>
    </row>
    <row r="48" spans="2:9" x14ac:dyDescent="0.55000000000000004">
      <c r="B48" s="412"/>
      <c r="C48" s="252" t="str">
        <f>Inventory!C44</f>
        <v>Distance 3 (ship)</v>
      </c>
      <c r="D48" s="95">
        <v>30</v>
      </c>
      <c r="E48" s="253" t="s">
        <v>305</v>
      </c>
    </row>
    <row r="49" spans="2:13" ht="14.7" thickBot="1" x14ac:dyDescent="0.6">
      <c r="B49" s="420"/>
      <c r="C49" s="421" t="str">
        <f>Inventory!C45</f>
        <v>Distance 4 (plane)</v>
      </c>
      <c r="D49" s="96">
        <v>800</v>
      </c>
      <c r="E49" s="422" t="s">
        <v>305</v>
      </c>
    </row>
    <row r="51" spans="2:13" hidden="1" x14ac:dyDescent="0.55000000000000004">
      <c r="B51" s="423"/>
    </row>
    <row r="52" spans="2:13" hidden="1" x14ac:dyDescent="0.55000000000000004">
      <c r="B52" s="423"/>
    </row>
    <row r="53" spans="2:13" hidden="1" x14ac:dyDescent="0.55000000000000004">
      <c r="B53" s="423"/>
    </row>
    <row r="54" spans="2:13" hidden="1" x14ac:dyDescent="0.55000000000000004">
      <c r="B54" s="423"/>
    </row>
    <row r="55" spans="2:13" hidden="1" x14ac:dyDescent="0.55000000000000004">
      <c r="B55" s="423"/>
    </row>
    <row r="56" spans="2:13" hidden="1" x14ac:dyDescent="0.55000000000000004">
      <c r="B56" s="423"/>
    </row>
    <row r="57" spans="2:13" hidden="1" x14ac:dyDescent="0.55000000000000004">
      <c r="B57" s="423"/>
    </row>
    <row r="58" spans="2:13" ht="14.7" thickBot="1" x14ac:dyDescent="0.6">
      <c r="B58" s="423"/>
    </row>
    <row r="59" spans="2:13" ht="18.3" x14ac:dyDescent="0.7">
      <c r="B59" s="424" t="s">
        <v>69</v>
      </c>
      <c r="C59" s="425"/>
      <c r="D59" s="425"/>
      <c r="E59" s="425"/>
      <c r="F59" s="425"/>
      <c r="G59" s="425"/>
      <c r="H59" s="425"/>
      <c r="I59" s="425"/>
      <c r="J59" s="425"/>
      <c r="K59" s="425"/>
      <c r="L59" s="426"/>
      <c r="M59" s="228"/>
    </row>
    <row r="60" spans="2:13" x14ac:dyDescent="0.55000000000000004">
      <c r="B60" s="135"/>
      <c r="C60" s="137"/>
      <c r="D60" s="137"/>
      <c r="E60" s="427" t="str">
        <f>Inventory!G3</f>
        <v>Select</v>
      </c>
      <c r="F60" s="428"/>
      <c r="G60" s="137"/>
      <c r="H60" s="429" t="str">
        <f>Inventory!K3</f>
        <v xml:space="preserve">Upgrading </v>
      </c>
      <c r="I60" s="430"/>
      <c r="J60" s="137"/>
      <c r="K60" s="431" t="s">
        <v>148</v>
      </c>
      <c r="L60" s="432"/>
    </row>
    <row r="61" spans="2:13" x14ac:dyDescent="0.55000000000000004">
      <c r="B61" s="135"/>
      <c r="C61" s="137"/>
      <c r="D61" s="137"/>
      <c r="E61" s="162"/>
      <c r="F61" s="163"/>
      <c r="G61" s="137"/>
      <c r="H61" s="162"/>
      <c r="I61" s="163"/>
      <c r="J61" s="137"/>
      <c r="K61" s="162"/>
      <c r="L61" s="433"/>
    </row>
    <row r="62" spans="2:13" x14ac:dyDescent="0.55000000000000004">
      <c r="B62" s="138" t="str">
        <f>B28</f>
        <v xml:space="preserve">Raw material/Products </v>
      </c>
      <c r="C62" s="163"/>
      <c r="D62" s="137"/>
      <c r="E62" s="434" t="s">
        <v>65</v>
      </c>
      <c r="F62" s="435" t="s">
        <v>68</v>
      </c>
      <c r="G62" s="137"/>
      <c r="H62" s="436" t="s">
        <v>65</v>
      </c>
      <c r="I62" s="140" t="s">
        <v>68</v>
      </c>
      <c r="J62" s="137"/>
      <c r="K62" s="437" t="s">
        <v>172</v>
      </c>
      <c r="L62" s="438" t="s">
        <v>68</v>
      </c>
    </row>
    <row r="63" spans="2:13" x14ac:dyDescent="0.55000000000000004">
      <c r="B63" s="439"/>
      <c r="C63" s="142" t="str">
        <f t="shared" ref="C63:C71" si="0">C29</f>
        <v>Feedstock 1 (biogenic feedstock)</v>
      </c>
      <c r="D63" s="137"/>
      <c r="E63" s="279">
        <f>Inventory!G6*D29*Inventory!$G$4</f>
        <v>0</v>
      </c>
      <c r="F63" s="142" t="s">
        <v>57</v>
      </c>
      <c r="G63" s="137"/>
      <c r="H63" s="279">
        <f>Inventory!K6*GHG!D29</f>
        <v>0</v>
      </c>
      <c r="I63" s="142" t="s">
        <v>57</v>
      </c>
      <c r="J63" s="137"/>
      <c r="K63" s="440" t="s">
        <v>67</v>
      </c>
      <c r="L63" s="441" t="s">
        <v>57</v>
      </c>
    </row>
    <row r="64" spans="2:13" x14ac:dyDescent="0.55000000000000004">
      <c r="B64" s="439"/>
      <c r="C64" s="140" t="str">
        <f t="shared" si="0"/>
        <v>Feedstock 2</v>
      </c>
      <c r="D64" s="137"/>
      <c r="E64" s="279">
        <f>Inventory!G7*D30*Inventory!$G$4</f>
        <v>0</v>
      </c>
      <c r="F64" s="140" t="s">
        <v>57</v>
      </c>
      <c r="G64" s="137"/>
      <c r="H64" s="279">
        <f>Inventory!K7*GHG!D30</f>
        <v>0</v>
      </c>
      <c r="I64" s="140" t="s">
        <v>57</v>
      </c>
      <c r="J64" s="137"/>
      <c r="K64" s="440" t="s">
        <v>67</v>
      </c>
      <c r="L64" s="441" t="s">
        <v>57</v>
      </c>
    </row>
    <row r="65" spans="1:66" x14ac:dyDescent="0.55000000000000004">
      <c r="B65" s="439"/>
      <c r="C65" s="140" t="str">
        <f t="shared" si="0"/>
        <v>Feedstock 3</v>
      </c>
      <c r="D65" s="137"/>
      <c r="E65" s="279">
        <f>Inventory!G8*D31*Inventory!$G$4</f>
        <v>0</v>
      </c>
      <c r="F65" s="140" t="s">
        <v>57</v>
      </c>
      <c r="G65" s="137"/>
      <c r="H65" s="279">
        <f>Inventory!K8*GHG!D31</f>
        <v>0</v>
      </c>
      <c r="I65" s="140" t="s">
        <v>57</v>
      </c>
      <c r="J65" s="137"/>
      <c r="K65" s="440" t="s">
        <v>67</v>
      </c>
      <c r="L65" s="441" t="s">
        <v>57</v>
      </c>
    </row>
    <row r="66" spans="1:66" x14ac:dyDescent="0.55000000000000004">
      <c r="B66" s="439"/>
      <c r="C66" s="140" t="str">
        <f t="shared" si="0"/>
        <v>Feedstock 4</v>
      </c>
      <c r="D66" s="137"/>
      <c r="E66" s="279">
        <f>Inventory!G9*D32*Inventory!$G$4</f>
        <v>0</v>
      </c>
      <c r="F66" s="140" t="s">
        <v>57</v>
      </c>
      <c r="G66" s="137"/>
      <c r="H66" s="279">
        <f>Inventory!K9*GHG!D32</f>
        <v>0</v>
      </c>
      <c r="I66" s="140" t="s">
        <v>57</v>
      </c>
      <c r="J66" s="137"/>
      <c r="K66" s="440" t="s">
        <v>67</v>
      </c>
      <c r="L66" s="441" t="s">
        <v>57</v>
      </c>
    </row>
    <row r="67" spans="1:66" x14ac:dyDescent="0.55000000000000004">
      <c r="B67" s="439"/>
      <c r="C67" s="140" t="str">
        <f t="shared" si="0"/>
        <v>Nitrogen</v>
      </c>
      <c r="D67" s="137"/>
      <c r="E67" s="279">
        <f>Inventory!G10*D33*Inventory!$G$4</f>
        <v>0</v>
      </c>
      <c r="F67" s="140" t="s">
        <v>57</v>
      </c>
      <c r="G67" s="137"/>
      <c r="H67" s="279">
        <f>Inventory!K10*GHG!D33</f>
        <v>0</v>
      </c>
      <c r="I67" s="140" t="s">
        <v>57</v>
      </c>
      <c r="J67" s="137"/>
      <c r="K67" s="440" t="s">
        <v>67</v>
      </c>
      <c r="L67" s="441" t="s">
        <v>57</v>
      </c>
    </row>
    <row r="68" spans="1:66" x14ac:dyDescent="0.55000000000000004">
      <c r="B68" s="439"/>
      <c r="C68" s="140" t="str">
        <f t="shared" si="0"/>
        <v>Hydrogen</v>
      </c>
      <c r="D68" s="137"/>
      <c r="E68" s="279">
        <f>Inventory!G11*D34*Inventory!$G$4</f>
        <v>0</v>
      </c>
      <c r="F68" s="140" t="s">
        <v>57</v>
      </c>
      <c r="G68" s="137"/>
      <c r="H68" s="279">
        <f>Inventory!K11*GHG!D34</f>
        <v>0</v>
      </c>
      <c r="I68" s="140" t="s">
        <v>57</v>
      </c>
      <c r="J68" s="137"/>
      <c r="K68" s="440" t="s">
        <v>67</v>
      </c>
      <c r="L68" s="441" t="s">
        <v>57</v>
      </c>
    </row>
    <row r="69" spans="1:66" x14ac:dyDescent="0.55000000000000004">
      <c r="B69" s="439"/>
      <c r="C69" s="140" t="str">
        <f t="shared" si="0"/>
        <v>Sulfiding agent</v>
      </c>
      <c r="D69" s="137"/>
      <c r="E69" s="279">
        <f>Inventory!G12*D35*Inventory!$G$4</f>
        <v>0</v>
      </c>
      <c r="F69" s="140" t="s">
        <v>57</v>
      </c>
      <c r="G69" s="137"/>
      <c r="H69" s="279">
        <f>Inventory!K12*GHG!D35</f>
        <v>0</v>
      </c>
      <c r="I69" s="140" t="s">
        <v>57</v>
      </c>
      <c r="J69" s="137"/>
      <c r="K69" s="440" t="s">
        <v>67</v>
      </c>
      <c r="L69" s="441" t="s">
        <v>57</v>
      </c>
    </row>
    <row r="70" spans="1:66" x14ac:dyDescent="0.55000000000000004">
      <c r="B70" s="439"/>
      <c r="C70" s="140" t="str">
        <f t="shared" si="0"/>
        <v>Catalyst for stabilization reactor</v>
      </c>
      <c r="D70" s="137"/>
      <c r="E70" s="279">
        <f>Inventory!G13*D36*Inventory!$G$4</f>
        <v>0</v>
      </c>
      <c r="F70" s="140" t="s">
        <v>57</v>
      </c>
      <c r="G70" s="137"/>
      <c r="H70" s="279">
        <f>Inventory!K13*GHG!D36</f>
        <v>0</v>
      </c>
      <c r="I70" s="140" t="s">
        <v>57</v>
      </c>
      <c r="J70" s="137"/>
      <c r="K70" s="440" t="s">
        <v>67</v>
      </c>
      <c r="L70" s="441" t="s">
        <v>57</v>
      </c>
    </row>
    <row r="71" spans="1:66" s="120" customFormat="1" x14ac:dyDescent="0.55000000000000004">
      <c r="A71" s="136"/>
      <c r="B71" s="439"/>
      <c r="C71" s="140" t="str">
        <f t="shared" si="0"/>
        <v>Catalyst for deoxygenation reactor</v>
      </c>
      <c r="D71" s="137"/>
      <c r="E71" s="279">
        <f>Inventory!G14*D37*Inventory!$G$4</f>
        <v>0</v>
      </c>
      <c r="F71" s="140" t="s">
        <v>57</v>
      </c>
      <c r="G71" s="137"/>
      <c r="H71" s="279">
        <f>Inventory!K14*GHG!D37</f>
        <v>0</v>
      </c>
      <c r="I71" s="140" t="s">
        <v>57</v>
      </c>
      <c r="J71" s="137"/>
      <c r="K71" s="440" t="s">
        <v>67</v>
      </c>
      <c r="L71" s="441" t="s">
        <v>57</v>
      </c>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row>
    <row r="72" spans="1:66" x14ac:dyDescent="0.55000000000000004">
      <c r="B72" s="439"/>
      <c r="C72" s="140" t="str">
        <f>C38</f>
        <v>IX resin</v>
      </c>
      <c r="D72" s="137"/>
      <c r="E72" s="279">
        <f>Inventory!G15*D38*Inventory!$G$4</f>
        <v>0</v>
      </c>
      <c r="F72" s="140" t="s">
        <v>57</v>
      </c>
      <c r="G72" s="137"/>
      <c r="H72" s="279">
        <f>Inventory!K15*GHG!D38</f>
        <v>0</v>
      </c>
      <c r="I72" s="140" t="s">
        <v>57</v>
      </c>
      <c r="J72" s="137"/>
      <c r="K72" s="440" t="s">
        <v>67</v>
      </c>
      <c r="L72" s="441" t="s">
        <v>57</v>
      </c>
    </row>
    <row r="73" spans="1:66" x14ac:dyDescent="0.55000000000000004">
      <c r="B73" s="439"/>
      <c r="C73" s="153" t="s">
        <v>160</v>
      </c>
      <c r="D73" s="137"/>
      <c r="E73" s="440" t="s">
        <v>67</v>
      </c>
      <c r="F73" s="140" t="s">
        <v>57</v>
      </c>
      <c r="G73" s="137"/>
      <c r="H73" s="442" t="s">
        <v>67</v>
      </c>
      <c r="I73" s="140" t="s">
        <v>57</v>
      </c>
      <c r="J73" s="137"/>
      <c r="K73" s="279" t="e">
        <f>(((Inventory!O22+(IF(Inventory!$L$21&gt;0,Inventory!$L$21,Inventory!$L$20)))*(1-C24)*C25*D39))</f>
        <v>#DIV/0!</v>
      </c>
      <c r="L73" s="441" t="s">
        <v>57</v>
      </c>
    </row>
    <row r="74" spans="1:66" x14ac:dyDescent="0.55000000000000004">
      <c r="B74" s="212" t="str">
        <f>B40</f>
        <v xml:space="preserve">Utilities </v>
      </c>
      <c r="C74" s="214"/>
      <c r="D74" s="443"/>
      <c r="E74" s="443"/>
      <c r="F74" s="443"/>
      <c r="G74" s="443"/>
      <c r="H74" s="444"/>
      <c r="I74" s="443"/>
      <c r="J74" s="443"/>
      <c r="K74" s="443"/>
      <c r="L74" s="445"/>
    </row>
    <row r="75" spans="1:66" x14ac:dyDescent="0.55000000000000004">
      <c r="B75" s="439"/>
      <c r="C75" s="142" t="str">
        <f>C41</f>
        <v>Fresh water</v>
      </c>
      <c r="D75" s="137"/>
      <c r="E75" s="279">
        <f>Inventory!G36*D41*Inventory!$G$4/1000</f>
        <v>0</v>
      </c>
      <c r="F75" s="140" t="s">
        <v>57</v>
      </c>
      <c r="G75" s="137"/>
      <c r="H75" s="279">
        <f>Inventory!K36*GHG!D41/1000</f>
        <v>0</v>
      </c>
      <c r="I75" s="140" t="s">
        <v>57</v>
      </c>
      <c r="J75" s="137"/>
      <c r="K75" s="279">
        <f>Inventory!O34*D41/1000</f>
        <v>0</v>
      </c>
      <c r="L75" s="441" t="s">
        <v>57</v>
      </c>
    </row>
    <row r="76" spans="1:66" x14ac:dyDescent="0.55000000000000004">
      <c r="B76" s="439"/>
      <c r="C76" s="140" t="str">
        <f>C42</f>
        <v>cooling water</v>
      </c>
      <c r="D76" s="137"/>
      <c r="E76" s="279">
        <f>Inventory!G37*D42*Inventory!$G$4/1000</f>
        <v>0</v>
      </c>
      <c r="F76" s="140" t="s">
        <v>57</v>
      </c>
      <c r="G76" s="137"/>
      <c r="H76" s="279">
        <f>Inventory!K37*GHG!D42/1000</f>
        <v>0</v>
      </c>
      <c r="I76" s="140" t="s">
        <v>57</v>
      </c>
      <c r="J76" s="137"/>
      <c r="K76" s="279">
        <f>Inventory!O36*D42/1000</f>
        <v>0</v>
      </c>
      <c r="L76" s="441" t="s">
        <v>57</v>
      </c>
    </row>
    <row r="77" spans="1:66" x14ac:dyDescent="0.55000000000000004">
      <c r="B77" s="439"/>
      <c r="C77" s="140" t="str">
        <f>C43</f>
        <v>Steam</v>
      </c>
      <c r="D77" s="137"/>
      <c r="E77" s="279">
        <f>Inventory!G39*D43*Inventory!$G$4</f>
        <v>0</v>
      </c>
      <c r="F77" s="140" t="s">
        <v>57</v>
      </c>
      <c r="G77" s="137"/>
      <c r="H77" s="279">
        <f>Inventory!K39*GHG!D43</f>
        <v>0</v>
      </c>
      <c r="I77" s="140" t="s">
        <v>57</v>
      </c>
      <c r="J77" s="137"/>
      <c r="K77" s="279">
        <f>Inventory!O37*D43/1000</f>
        <v>0</v>
      </c>
      <c r="L77" s="441" t="s">
        <v>57</v>
      </c>
    </row>
    <row r="78" spans="1:66" x14ac:dyDescent="0.55000000000000004">
      <c r="B78" s="439"/>
      <c r="C78" s="140" t="str">
        <f>C44</f>
        <v xml:space="preserve">Electricity </v>
      </c>
      <c r="D78" s="137"/>
      <c r="E78" s="279">
        <f>Inventory!G40*D44*Inventory!$G$4/1000</f>
        <v>0</v>
      </c>
      <c r="F78" s="153" t="s">
        <v>57</v>
      </c>
      <c r="G78" s="137"/>
      <c r="H78" s="279">
        <f>Inventory!K40*GHG!D44/1000</f>
        <v>0</v>
      </c>
      <c r="I78" s="153" t="s">
        <v>57</v>
      </c>
      <c r="J78" s="137"/>
      <c r="K78" s="279">
        <f>Inventory!O39*D44/1000</f>
        <v>0</v>
      </c>
      <c r="L78" s="441" t="s">
        <v>57</v>
      </c>
    </row>
    <row r="79" spans="1:66" x14ac:dyDescent="0.55000000000000004">
      <c r="B79" s="212" t="str">
        <f>B45</f>
        <v xml:space="preserve">Transport </v>
      </c>
      <c r="C79" s="214"/>
      <c r="D79" s="137"/>
      <c r="E79" s="139"/>
      <c r="F79" s="139"/>
      <c r="G79" s="137"/>
      <c r="H79" s="446"/>
      <c r="I79" s="139"/>
      <c r="J79" s="137"/>
      <c r="K79" s="139"/>
      <c r="L79" s="433"/>
    </row>
    <row r="80" spans="1:66" x14ac:dyDescent="0.55000000000000004">
      <c r="B80" s="439"/>
      <c r="C80" s="140" t="str">
        <f>C46</f>
        <v>Distance 1 (road)</v>
      </c>
      <c r="D80" s="137"/>
      <c r="E80" s="447">
        <f>Inventory!G42*Inventory!$K$19*GHG!D46/1000000</f>
        <v>0</v>
      </c>
      <c r="F80" s="142" t="s">
        <v>57</v>
      </c>
      <c r="G80" s="137"/>
      <c r="H80" s="447">
        <f>Inventory!K42*(IF(Inventory!$L$21&gt;0,Inventory!$L$21,Inventory!$L$20))*D46/1000000</f>
        <v>0</v>
      </c>
      <c r="I80" s="142" t="s">
        <v>57</v>
      </c>
      <c r="J80" s="137"/>
      <c r="K80" s="448" t="s">
        <v>67</v>
      </c>
      <c r="L80" s="441" t="s">
        <v>57</v>
      </c>
    </row>
    <row r="81" spans="2:13" x14ac:dyDescent="0.55000000000000004">
      <c r="B81" s="439"/>
      <c r="C81" s="140" t="str">
        <f>C47</f>
        <v>Distance 2 (train)</v>
      </c>
      <c r="D81" s="137"/>
      <c r="E81" s="447">
        <f>Inventory!G43*Inventory!$K$19*GHG!D47/1000000</f>
        <v>0</v>
      </c>
      <c r="F81" s="140" t="s">
        <v>57</v>
      </c>
      <c r="G81" s="137"/>
      <c r="H81" s="447">
        <f>Inventory!K43*(IF(Inventory!$L$21&gt;0,Inventory!$L$21,Inventory!$L$20))*D47/1000000</f>
        <v>0</v>
      </c>
      <c r="I81" s="140" t="s">
        <v>57</v>
      </c>
      <c r="J81" s="137"/>
      <c r="K81" s="440" t="s">
        <v>67</v>
      </c>
      <c r="L81" s="441" t="s">
        <v>57</v>
      </c>
    </row>
    <row r="82" spans="2:13" x14ac:dyDescent="0.55000000000000004">
      <c r="B82" s="439"/>
      <c r="C82" s="140" t="str">
        <f>C48</f>
        <v>Distance 3 (ship)</v>
      </c>
      <c r="D82" s="137"/>
      <c r="E82" s="447">
        <f>Inventory!G44*Inventory!$K$19*GHG!D48/1000000</f>
        <v>0</v>
      </c>
      <c r="F82" s="140" t="s">
        <v>57</v>
      </c>
      <c r="G82" s="137"/>
      <c r="H82" s="447">
        <f>Inventory!K44*(IF(Inventory!$L$21&gt;0,Inventory!$L$21,Inventory!$L$20))*D48/1000000</f>
        <v>0</v>
      </c>
      <c r="I82" s="140" t="s">
        <v>57</v>
      </c>
      <c r="J82" s="137"/>
      <c r="K82" s="440" t="s">
        <v>67</v>
      </c>
      <c r="L82" s="441" t="s">
        <v>57</v>
      </c>
    </row>
    <row r="83" spans="2:13" x14ac:dyDescent="0.55000000000000004">
      <c r="B83" s="449"/>
      <c r="C83" s="140" t="str">
        <f>C49</f>
        <v>Distance 4 (plane)</v>
      </c>
      <c r="D83" s="137"/>
      <c r="E83" s="447">
        <f>Inventory!G45*Inventory!$K$19*GHG!D49/1000000</f>
        <v>0</v>
      </c>
      <c r="F83" s="153" t="s">
        <v>57</v>
      </c>
      <c r="G83" s="137"/>
      <c r="H83" s="447">
        <f>Inventory!K45*(IF(Inventory!$L$21&gt;0,Inventory!$L$21,Inventory!$L$20))*D49/1000000</f>
        <v>0</v>
      </c>
      <c r="I83" s="153" t="s">
        <v>57</v>
      </c>
      <c r="J83" s="137"/>
      <c r="K83" s="450" t="s">
        <v>67</v>
      </c>
      <c r="L83" s="441" t="s">
        <v>57</v>
      </c>
    </row>
    <row r="84" spans="2:13" x14ac:dyDescent="0.55000000000000004">
      <c r="B84" s="135"/>
      <c r="C84" s="137"/>
      <c r="D84" s="137"/>
      <c r="E84" s="139"/>
      <c r="F84" s="139"/>
      <c r="G84" s="137"/>
      <c r="H84" s="139"/>
      <c r="I84" s="139"/>
      <c r="J84" s="137"/>
      <c r="K84" s="139"/>
      <c r="L84" s="451"/>
    </row>
    <row r="85" spans="2:13" ht="15.6" x14ac:dyDescent="0.6">
      <c r="B85" s="452" t="s">
        <v>383</v>
      </c>
      <c r="C85" s="453"/>
      <c r="D85" s="161"/>
      <c r="E85" s="454">
        <f>SUM(E63:E73,E75:E78,E80:E83)</f>
        <v>0</v>
      </c>
      <c r="F85" s="455" t="s">
        <v>57</v>
      </c>
      <c r="G85" s="153"/>
      <c r="H85" s="454">
        <f>SUM(H63:H73,H75:H78,H80:H83)</f>
        <v>0</v>
      </c>
      <c r="I85" s="455" t="s">
        <v>57</v>
      </c>
      <c r="J85" s="153"/>
      <c r="K85" s="456" t="e">
        <f>SUM(K73,K75:K78)</f>
        <v>#DIV/0!</v>
      </c>
      <c r="L85" s="457" t="s">
        <v>57</v>
      </c>
    </row>
    <row r="86" spans="2:13" ht="15.9" thickBot="1" x14ac:dyDescent="0.65">
      <c r="B86" s="458"/>
      <c r="C86" s="293"/>
      <c r="D86" s="459"/>
      <c r="E86" s="460" t="e">
        <f>E85/C27</f>
        <v>#DIV/0!</v>
      </c>
      <c r="F86" s="461" t="s">
        <v>170</v>
      </c>
      <c r="G86" s="462"/>
      <c r="H86" s="460" t="e">
        <f>H85/C27</f>
        <v>#DIV/0!</v>
      </c>
      <c r="I86" s="461" t="s">
        <v>171</v>
      </c>
      <c r="J86" s="462"/>
      <c r="K86" s="460" t="e">
        <f>K85/C27</f>
        <v>#DIV/0!</v>
      </c>
      <c r="L86" s="463" t="s">
        <v>171</v>
      </c>
    </row>
    <row r="87" spans="2:13" ht="15.6" x14ac:dyDescent="0.55000000000000004">
      <c r="B87" s="464" t="s">
        <v>384</v>
      </c>
      <c r="C87" s="465" t="e">
        <f>(E86+H86+K86)*1000000</f>
        <v>#DIV/0!</v>
      </c>
      <c r="D87" s="466" t="s">
        <v>420</v>
      </c>
      <c r="E87" s="159"/>
      <c r="F87" s="159"/>
      <c r="G87" s="159"/>
      <c r="H87" s="159"/>
      <c r="I87" s="159"/>
      <c r="J87" s="159"/>
      <c r="K87" s="159"/>
      <c r="L87" s="159"/>
      <c r="M87" s="159"/>
    </row>
    <row r="88" spans="2:13" x14ac:dyDescent="0.55000000000000004">
      <c r="B88" s="147" t="s">
        <v>425</v>
      </c>
      <c r="C88" s="97"/>
      <c r="D88" s="467" t="s">
        <v>420</v>
      </c>
      <c r="E88" s="137"/>
      <c r="F88" s="137"/>
      <c r="G88" s="137"/>
      <c r="H88" s="137"/>
      <c r="I88" s="137"/>
      <c r="J88" s="137"/>
      <c r="K88" s="137"/>
      <c r="L88" s="137"/>
    </row>
    <row r="89" spans="2:13" x14ac:dyDescent="0.55000000000000004">
      <c r="B89" s="468" t="s">
        <v>426</v>
      </c>
      <c r="C89" s="98">
        <v>73</v>
      </c>
      <c r="D89" s="467" t="s">
        <v>420</v>
      </c>
      <c r="E89" s="137"/>
      <c r="F89" s="137"/>
      <c r="G89" s="137"/>
      <c r="H89" s="137"/>
      <c r="I89" s="137"/>
      <c r="J89" s="137"/>
      <c r="K89" s="137"/>
      <c r="L89" s="137"/>
    </row>
    <row r="90" spans="2:13" ht="14.7" thickBot="1" x14ac:dyDescent="0.6">
      <c r="B90" s="469" t="s">
        <v>427</v>
      </c>
      <c r="C90" s="470">
        <f>(C89-C88)/C89</f>
        <v>1</v>
      </c>
      <c r="D90" s="471"/>
      <c r="E90" s="137"/>
      <c r="F90" s="137"/>
      <c r="G90" s="137"/>
      <c r="H90" s="137"/>
      <c r="I90" s="137"/>
      <c r="J90" s="137"/>
      <c r="K90" s="137"/>
      <c r="L90" s="137"/>
    </row>
    <row r="97" spans="3:3" x14ac:dyDescent="0.55000000000000004">
      <c r="C97" s="472"/>
    </row>
  </sheetData>
  <sheetProtection algorithmName="SHA-512" hashValue="gEZWywIwACoSDToQge3TCjYx1Pv2h716fQwVqRDVANvgCV7U/c0VcFzwinLm9icD+LcLV4PnZusuORXxN53haQ==" saltValue="hO3JFkM8nUWUEPTuSxktuw==" spinCount="100000" sheet="1" objects="1" scenarios="1" selectLockedCells="1"/>
  <mergeCells count="12">
    <mergeCell ref="B85:B86"/>
    <mergeCell ref="E60:F60"/>
    <mergeCell ref="B23:E23"/>
    <mergeCell ref="G23:I23"/>
    <mergeCell ref="B74:C74"/>
    <mergeCell ref="B79:C79"/>
    <mergeCell ref="H60:I60"/>
    <mergeCell ref="K60:L60"/>
    <mergeCell ref="B59:L59"/>
    <mergeCell ref="K23:M23"/>
    <mergeCell ref="G30:I30"/>
    <mergeCell ref="D10:E10"/>
  </mergeCells>
  <conditionalFormatting sqref="E75:E78 E80:E83 E63:E72">
    <cfRule type="top10" dxfId="50" priority="11" rank="1"/>
  </conditionalFormatting>
  <conditionalFormatting sqref="E63:E72">
    <cfRule type="expression" dxfId="49" priority="1">
      <formula>E63=0</formula>
    </cfRule>
  </conditionalFormatting>
  <conditionalFormatting sqref="E75:E78">
    <cfRule type="expression" dxfId="48" priority="9">
      <formula>E75=0</formula>
    </cfRule>
  </conditionalFormatting>
  <conditionalFormatting sqref="E80:E83">
    <cfRule type="expression" dxfId="47" priority="8">
      <formula>E80=0</formula>
    </cfRule>
  </conditionalFormatting>
  <conditionalFormatting sqref="H75:H78 H80:H83 H63:H72">
    <cfRule type="top10" dxfId="46" priority="7" rank="1"/>
  </conditionalFormatting>
  <conditionalFormatting sqref="H63:H72">
    <cfRule type="expression" dxfId="45" priority="6">
      <formula>H63=0</formula>
    </cfRule>
  </conditionalFormatting>
  <conditionalFormatting sqref="H75:H78">
    <cfRule type="expression" dxfId="44" priority="5">
      <formula>H75=0</formula>
    </cfRule>
  </conditionalFormatting>
  <conditionalFormatting sqref="H80:H83">
    <cfRule type="expression" dxfId="43" priority="4">
      <formula>H80=0</formula>
    </cfRule>
  </conditionalFormatting>
  <conditionalFormatting sqref="K75:K78">
    <cfRule type="top10" dxfId="42" priority="3" rank="1"/>
  </conditionalFormatting>
  <conditionalFormatting sqref="K75:K78">
    <cfRule type="expression" dxfId="41" priority="2">
      <formula>K75=0</formula>
    </cfRule>
  </conditionalFormatting>
  <conditionalFormatting sqref="E75:E78 E80:E83 H75:H78 K75:K78 H80:H83 E63:E72 H63:H72">
    <cfRule type="top10" dxfId="40" priority="10" rank="1"/>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D780C-E9CD-49E7-9244-E173C6546BD1}">
  <dimension ref="A1:AG84"/>
  <sheetViews>
    <sheetView showGridLines="0" topLeftCell="B1" zoomScale="40" zoomScaleNormal="40" workbookViewId="0">
      <selection activeCell="D28" sqref="D28:F28"/>
    </sheetView>
  </sheetViews>
  <sheetFormatPr defaultRowHeight="14.4" x14ac:dyDescent="0.55000000000000004"/>
  <cols>
    <col min="1" max="1" width="8.89453125" style="136"/>
    <col min="2" max="2" width="8.83984375" style="136"/>
    <col min="3" max="3" width="32.3125" style="136" bestFit="1" customWidth="1"/>
    <col min="4" max="4" width="21.89453125" style="136" bestFit="1" customWidth="1"/>
    <col min="5" max="5" width="16" style="136" customWidth="1"/>
    <col min="6" max="6" width="16" style="136" bestFit="1" customWidth="1"/>
    <col min="7" max="7" width="8.83984375" style="136"/>
    <col min="8" max="8" width="10.41796875" style="136" customWidth="1"/>
    <col min="9" max="9" width="8.83984375" style="136"/>
    <col min="10" max="10" width="29.68359375" style="136" bestFit="1" customWidth="1"/>
    <col min="11" max="11" width="29.89453125" style="136" bestFit="1" customWidth="1"/>
    <col min="12" max="12" width="12" style="136" bestFit="1" customWidth="1"/>
    <col min="13" max="13" width="10.41796875" style="136" bestFit="1" customWidth="1"/>
    <col min="14" max="18" width="8.83984375" style="136"/>
    <col min="19" max="19" width="32.3125" style="136" bestFit="1" customWidth="1"/>
    <col min="20" max="20" width="29.89453125" style="136" bestFit="1" customWidth="1"/>
    <col min="21" max="21" width="20.7890625" style="136" bestFit="1" customWidth="1"/>
    <col min="22" max="22" width="8.83984375" style="136"/>
    <col min="23" max="24" width="9.89453125" style="136" bestFit="1" customWidth="1"/>
    <col min="25" max="25" width="21" style="136" bestFit="1" customWidth="1"/>
    <col min="26" max="26" width="15.7890625" style="136" customWidth="1"/>
    <col min="27" max="27" width="29.89453125" style="136" bestFit="1" customWidth="1"/>
    <col min="28" max="28" width="8.83984375" style="136"/>
    <col min="29" max="29" width="15" style="136" customWidth="1"/>
    <col min="30" max="33" width="8.83984375" style="136"/>
  </cols>
  <sheetData>
    <row r="1" spans="1:33" s="20" customFormat="1" x14ac:dyDescent="0.55000000000000004">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row>
    <row r="2" spans="1:33" s="20" customFormat="1" ht="18.600000000000001" customHeight="1" x14ac:dyDescent="0.55000000000000004">
      <c r="A2" s="136"/>
      <c r="B2" s="136"/>
      <c r="C2" s="136"/>
      <c r="D2" s="136"/>
      <c r="E2" s="136"/>
      <c r="F2" s="136"/>
      <c r="G2" s="136"/>
      <c r="H2" s="136"/>
      <c r="I2" s="136"/>
      <c r="J2" s="136"/>
      <c r="K2" s="136"/>
      <c r="L2" s="136"/>
      <c r="M2" s="136"/>
      <c r="N2" s="136"/>
      <c r="O2" s="136"/>
      <c r="P2" s="136"/>
      <c r="Q2" s="136"/>
      <c r="R2" s="136"/>
      <c r="S2" s="136"/>
      <c r="T2" s="136"/>
      <c r="U2" s="474"/>
      <c r="V2" s="474"/>
      <c r="W2" s="474"/>
      <c r="X2" s="474"/>
      <c r="Y2" s="474"/>
      <c r="Z2" s="474"/>
      <c r="AA2" s="474"/>
      <c r="AB2" s="136"/>
      <c r="AC2" s="474"/>
      <c r="AD2" s="474"/>
      <c r="AE2" s="136"/>
      <c r="AF2" s="136"/>
      <c r="AG2" s="136"/>
    </row>
    <row r="3" spans="1:33" s="20" customFormat="1" ht="15.6" x14ac:dyDescent="0.6">
      <c r="A3" s="136"/>
      <c r="B3" s="136"/>
      <c r="C3" s="136"/>
      <c r="D3" s="136"/>
      <c r="E3" s="229"/>
      <c r="F3" s="136"/>
      <c r="G3" s="230" t="s">
        <v>138</v>
      </c>
      <c r="H3" s="229"/>
      <c r="I3" s="229"/>
      <c r="J3" s="229"/>
      <c r="K3" s="475" t="s">
        <v>377</v>
      </c>
      <c r="L3" s="229"/>
      <c r="M3" s="136"/>
      <c r="N3" s="229"/>
      <c r="O3" s="229"/>
      <c r="P3" s="230" t="s">
        <v>151</v>
      </c>
      <c r="Q3" s="136"/>
      <c r="R3" s="229"/>
      <c r="S3" s="229"/>
      <c r="T3" s="136"/>
      <c r="U3" s="136"/>
      <c r="V3" s="136"/>
      <c r="W3" s="136"/>
      <c r="X3" s="136"/>
      <c r="Y3" s="136"/>
      <c r="Z3" s="136"/>
      <c r="AA3" s="136"/>
      <c r="AB3" s="136"/>
      <c r="AC3" s="136"/>
      <c r="AD3" s="136"/>
      <c r="AE3" s="136"/>
      <c r="AF3" s="136"/>
      <c r="AG3" s="136"/>
    </row>
    <row r="4" spans="1:33" s="20" customFormat="1" x14ac:dyDescent="0.55000000000000004">
      <c r="A4" s="136"/>
      <c r="B4" s="136"/>
      <c r="C4" s="136"/>
      <c r="D4" s="136"/>
      <c r="E4" s="229"/>
      <c r="F4" s="229"/>
      <c r="G4" s="229"/>
      <c r="H4" s="229"/>
      <c r="I4" s="229"/>
      <c r="J4" s="229"/>
      <c r="K4" s="229"/>
      <c r="L4" s="229"/>
      <c r="M4" s="229"/>
      <c r="N4" s="229"/>
      <c r="O4" s="229"/>
      <c r="P4" s="229"/>
      <c r="Q4" s="229"/>
      <c r="R4" s="229"/>
      <c r="S4" s="229"/>
      <c r="T4" s="136"/>
      <c r="U4" s="136"/>
      <c r="V4" s="136"/>
      <c r="W4" s="136"/>
      <c r="X4" s="136"/>
      <c r="Y4" s="136"/>
      <c r="Z4" s="136"/>
      <c r="AA4" s="136"/>
      <c r="AB4" s="136"/>
      <c r="AC4" s="136"/>
      <c r="AD4" s="136"/>
      <c r="AE4" s="136"/>
      <c r="AF4" s="136"/>
      <c r="AG4" s="136"/>
    </row>
    <row r="5" spans="1:33" s="20" customFormat="1" x14ac:dyDescent="0.55000000000000004">
      <c r="A5" s="136"/>
      <c r="B5" s="136"/>
      <c r="C5" s="136"/>
      <c r="D5" s="136"/>
      <c r="E5" s="229"/>
      <c r="F5" s="229"/>
      <c r="G5" s="229"/>
      <c r="H5" s="229"/>
      <c r="I5" s="229"/>
      <c r="J5" s="229"/>
      <c r="K5" s="229"/>
      <c r="L5" s="229"/>
      <c r="M5" s="229"/>
      <c r="N5" s="229"/>
      <c r="O5" s="229"/>
      <c r="P5" s="229"/>
      <c r="Q5" s="229"/>
      <c r="R5" s="229"/>
      <c r="S5" s="229"/>
      <c r="T5" s="136"/>
      <c r="U5" s="136"/>
      <c r="V5" s="136"/>
      <c r="W5" s="136"/>
      <c r="X5" s="136"/>
      <c r="Y5" s="136"/>
      <c r="Z5" s="136"/>
      <c r="AA5" s="136"/>
      <c r="AB5" s="136"/>
      <c r="AC5" s="136"/>
      <c r="AD5" s="136"/>
      <c r="AE5" s="136"/>
      <c r="AF5" s="136"/>
      <c r="AG5" s="136"/>
    </row>
    <row r="6" spans="1:33" s="20" customFormat="1" x14ac:dyDescent="0.55000000000000004">
      <c r="A6" s="136"/>
      <c r="B6" s="136"/>
      <c r="C6" s="136"/>
      <c r="D6" s="136"/>
      <c r="E6" s="229"/>
      <c r="F6" s="229"/>
      <c r="G6" s="136"/>
      <c r="H6" s="229"/>
      <c r="I6" s="229"/>
      <c r="J6" s="229"/>
      <c r="K6" s="229"/>
      <c r="L6" s="229"/>
      <c r="M6" s="229"/>
      <c r="N6" s="229"/>
      <c r="O6" s="229"/>
      <c r="P6" s="229"/>
      <c r="Q6" s="229"/>
      <c r="R6" s="229"/>
      <c r="S6" s="229"/>
      <c r="T6" s="136"/>
      <c r="U6" s="136"/>
      <c r="V6" s="136"/>
      <c r="W6" s="136"/>
      <c r="X6" s="136"/>
      <c r="Y6" s="136"/>
      <c r="Z6" s="136"/>
      <c r="AA6" s="136"/>
      <c r="AB6" s="136"/>
      <c r="AC6" s="136"/>
      <c r="AD6" s="136"/>
      <c r="AE6" s="136"/>
      <c r="AF6" s="136"/>
      <c r="AG6" s="136"/>
    </row>
    <row r="7" spans="1:33" s="20" customFormat="1" x14ac:dyDescent="0.55000000000000004">
      <c r="A7" s="136"/>
      <c r="B7" s="136"/>
      <c r="C7" s="136"/>
      <c r="D7" s="136"/>
      <c r="E7" s="229"/>
      <c r="F7" s="229"/>
      <c r="G7" s="229"/>
      <c r="H7" s="229"/>
      <c r="I7" s="229"/>
      <c r="J7" s="229"/>
      <c r="K7" s="229"/>
      <c r="L7" s="229"/>
      <c r="M7" s="229"/>
      <c r="N7" s="229"/>
      <c r="O7" s="229"/>
      <c r="P7" s="229"/>
      <c r="Q7" s="229"/>
      <c r="R7" s="229"/>
      <c r="S7" s="229"/>
      <c r="T7" s="136"/>
      <c r="U7" s="136"/>
      <c r="V7" s="136"/>
      <c r="W7" s="136"/>
      <c r="X7" s="136"/>
      <c r="Y7" s="136"/>
      <c r="Z7" s="136"/>
      <c r="AA7" s="136"/>
      <c r="AB7" s="136"/>
      <c r="AC7" s="136"/>
      <c r="AD7" s="136"/>
      <c r="AE7" s="136"/>
      <c r="AF7" s="136"/>
      <c r="AG7" s="136"/>
    </row>
    <row r="8" spans="1:33" s="20" customFormat="1" x14ac:dyDescent="0.55000000000000004">
      <c r="A8" s="136"/>
      <c r="B8" s="136"/>
      <c r="C8" s="136"/>
      <c r="D8" s="136"/>
      <c r="E8" s="229"/>
      <c r="F8" s="136"/>
      <c r="G8" s="231"/>
      <c r="H8" s="240"/>
      <c r="I8" s="229"/>
      <c r="J8" s="229"/>
      <c r="K8" s="232"/>
      <c r="L8" s="229"/>
      <c r="M8" s="233"/>
      <c r="N8" s="234"/>
      <c r="O8" s="235"/>
      <c r="P8" s="235"/>
      <c r="Q8" s="235"/>
      <c r="R8" s="136"/>
      <c r="S8" s="229"/>
      <c r="T8" s="136"/>
      <c r="U8" s="136"/>
      <c r="V8" s="474"/>
      <c r="W8" s="474"/>
      <c r="X8" s="474"/>
      <c r="Y8" s="474"/>
      <c r="Z8" s="474"/>
      <c r="AA8" s="474"/>
      <c r="AB8" s="136"/>
      <c r="AC8" s="136"/>
      <c r="AD8" s="136"/>
      <c r="AE8" s="136"/>
      <c r="AF8" s="136"/>
      <c r="AG8" s="136"/>
    </row>
    <row r="9" spans="1:33" s="20" customFormat="1" ht="15.6" x14ac:dyDescent="0.6">
      <c r="A9" s="136"/>
      <c r="B9" s="136"/>
      <c r="C9" s="136"/>
      <c r="D9" s="136"/>
      <c r="E9" s="136"/>
      <c r="F9" s="236" t="s">
        <v>136</v>
      </c>
      <c r="G9" s="231"/>
      <c r="H9" s="240"/>
      <c r="I9" s="136"/>
      <c r="J9" s="236" t="s">
        <v>137</v>
      </c>
      <c r="K9" s="232"/>
      <c r="L9" s="229"/>
      <c r="M9" s="236" t="s">
        <v>140</v>
      </c>
      <c r="N9" s="234"/>
      <c r="O9" s="235"/>
      <c r="P9" s="235"/>
      <c r="Q9" s="235"/>
      <c r="R9" s="229"/>
      <c r="S9" s="230" t="s">
        <v>152</v>
      </c>
      <c r="T9" s="136"/>
      <c r="U9" s="136"/>
      <c r="V9" s="136"/>
      <c r="W9" s="136"/>
      <c r="X9" s="136"/>
      <c r="Y9" s="136"/>
      <c r="Z9" s="136"/>
      <c r="AA9" s="136"/>
      <c r="AB9" s="136"/>
      <c r="AC9" s="136"/>
      <c r="AD9" s="136"/>
      <c r="AE9" s="136"/>
      <c r="AF9" s="136"/>
      <c r="AG9" s="136"/>
    </row>
    <row r="10" spans="1:33" s="20" customFormat="1" ht="18.3" x14ac:dyDescent="0.7">
      <c r="A10" s="136"/>
      <c r="B10" s="136"/>
      <c r="C10" s="136"/>
      <c r="D10" s="136"/>
      <c r="E10" s="229"/>
      <c r="F10" s="229"/>
      <c r="G10" s="237" t="str">
        <f>Inventory!G3</f>
        <v>Select</v>
      </c>
      <c r="H10" s="237"/>
      <c r="I10" s="229"/>
      <c r="J10" s="229"/>
      <c r="K10" s="238" t="str">
        <f>Inventory!K3</f>
        <v xml:space="preserve">Upgrading </v>
      </c>
      <c r="L10" s="229"/>
      <c r="M10" s="229"/>
      <c r="N10" s="234"/>
      <c r="O10" s="235"/>
      <c r="P10" s="239" t="str">
        <f>Inventory!O3</f>
        <v>Refinery</v>
      </c>
      <c r="Q10" s="235"/>
      <c r="R10" s="229"/>
      <c r="S10" s="229"/>
      <c r="T10" s="136"/>
      <c r="U10" s="136"/>
      <c r="V10" s="136"/>
      <c r="W10" s="136"/>
      <c r="X10" s="136"/>
      <c r="Y10" s="136"/>
      <c r="Z10" s="136"/>
      <c r="AA10" s="136"/>
      <c r="AB10" s="136"/>
      <c r="AC10" s="136"/>
      <c r="AD10" s="136"/>
      <c r="AE10" s="136"/>
      <c r="AF10" s="136"/>
      <c r="AG10" s="136"/>
    </row>
    <row r="11" spans="1:33" s="20" customFormat="1" x14ac:dyDescent="0.55000000000000004">
      <c r="A11" s="136"/>
      <c r="B11" s="136"/>
      <c r="C11" s="136"/>
      <c r="D11" s="136"/>
      <c r="E11" s="229"/>
      <c r="F11" s="229"/>
      <c r="G11" s="231"/>
      <c r="H11" s="240"/>
      <c r="I11" s="229"/>
      <c r="J11" s="229"/>
      <c r="K11" s="232"/>
      <c r="L11" s="229"/>
      <c r="M11" s="233"/>
      <c r="N11" s="234"/>
      <c r="O11" s="235"/>
      <c r="P11" s="235"/>
      <c r="Q11" s="235"/>
      <c r="R11" s="229"/>
      <c r="S11" s="229"/>
      <c r="T11" s="136"/>
      <c r="U11" s="136"/>
      <c r="V11" s="136"/>
      <c r="W11" s="136"/>
      <c r="X11" s="136"/>
      <c r="Y11" s="136"/>
      <c r="Z11" s="136"/>
      <c r="AA11" s="136"/>
      <c r="AB11" s="136"/>
      <c r="AC11" s="136"/>
      <c r="AD11" s="136"/>
      <c r="AE11" s="136"/>
      <c r="AF11" s="136"/>
      <c r="AG11" s="136"/>
    </row>
    <row r="12" spans="1:33" s="20" customFormat="1" x14ac:dyDescent="0.55000000000000004">
      <c r="A12" s="136"/>
      <c r="B12" s="136"/>
      <c r="C12" s="136"/>
      <c r="D12" s="136"/>
      <c r="E12" s="229"/>
      <c r="F12" s="136"/>
      <c r="G12" s="240"/>
      <c r="H12" s="240"/>
      <c r="I12" s="229"/>
      <c r="J12" s="229"/>
      <c r="K12" s="241"/>
      <c r="L12" s="229"/>
      <c r="M12" s="234"/>
      <c r="N12" s="234"/>
      <c r="O12" s="235"/>
      <c r="P12" s="235"/>
      <c r="Q12" s="235"/>
      <c r="R12" s="136"/>
      <c r="S12" s="229"/>
      <c r="T12" s="136"/>
      <c r="U12" s="136"/>
      <c r="V12" s="136"/>
      <c r="W12" s="136"/>
      <c r="X12" s="136"/>
      <c r="Y12" s="136"/>
      <c r="Z12" s="136"/>
      <c r="AA12" s="136"/>
      <c r="AB12" s="136"/>
      <c r="AC12" s="136"/>
      <c r="AD12" s="136"/>
      <c r="AE12" s="136"/>
      <c r="AF12" s="136"/>
      <c r="AG12" s="136"/>
    </row>
    <row r="13" spans="1:33" s="20" customFormat="1" x14ac:dyDescent="0.55000000000000004">
      <c r="A13" s="136"/>
      <c r="B13" s="136"/>
      <c r="C13" s="136"/>
      <c r="D13" s="136"/>
      <c r="E13" s="229"/>
      <c r="F13" s="229"/>
      <c r="G13" s="229"/>
      <c r="H13" s="229"/>
      <c r="I13" s="229"/>
      <c r="J13" s="229"/>
      <c r="K13" s="229"/>
      <c r="L13" s="229"/>
      <c r="M13" s="229"/>
      <c r="N13" s="229"/>
      <c r="O13" s="229"/>
      <c r="P13" s="229"/>
      <c r="Q13" s="229"/>
      <c r="R13" s="229"/>
      <c r="S13" s="229"/>
      <c r="T13" s="136"/>
      <c r="U13" s="136"/>
      <c r="V13" s="136"/>
      <c r="W13" s="136"/>
      <c r="X13" s="136"/>
      <c r="Y13" s="136"/>
      <c r="Z13" s="136"/>
      <c r="AA13" s="136"/>
      <c r="AB13" s="136"/>
      <c r="AC13" s="136"/>
      <c r="AD13" s="136"/>
      <c r="AE13" s="136"/>
      <c r="AF13" s="136"/>
      <c r="AG13" s="136"/>
    </row>
    <row r="14" spans="1:33" s="20" customFormat="1" x14ac:dyDescent="0.55000000000000004">
      <c r="A14" s="136"/>
      <c r="B14" s="136"/>
      <c r="C14" s="136"/>
      <c r="D14" s="136"/>
      <c r="E14" s="229"/>
      <c r="F14" s="229"/>
      <c r="G14" s="229"/>
      <c r="H14" s="229"/>
      <c r="I14" s="229"/>
      <c r="J14" s="229"/>
      <c r="K14" s="229"/>
      <c r="L14" s="229"/>
      <c r="M14" s="229"/>
      <c r="N14" s="229"/>
      <c r="O14" s="229"/>
      <c r="P14" s="229"/>
      <c r="Q14" s="229"/>
      <c r="R14" s="229"/>
      <c r="S14" s="229"/>
      <c r="T14" s="136"/>
      <c r="U14" s="136"/>
      <c r="V14" s="136"/>
      <c r="W14" s="136"/>
      <c r="X14" s="136"/>
      <c r="Y14" s="136"/>
      <c r="Z14" s="136"/>
      <c r="AA14" s="136"/>
      <c r="AB14" s="136"/>
      <c r="AC14" s="136"/>
      <c r="AD14" s="136"/>
      <c r="AE14" s="136"/>
      <c r="AF14" s="136"/>
      <c r="AG14" s="136"/>
    </row>
    <row r="15" spans="1:33" s="20" customFormat="1" x14ac:dyDescent="0.55000000000000004">
      <c r="A15" s="136"/>
      <c r="B15" s="136"/>
      <c r="C15" s="136"/>
      <c r="D15" s="136"/>
      <c r="E15" s="229"/>
      <c r="F15" s="229"/>
      <c r="G15" s="229"/>
      <c r="H15" s="229"/>
      <c r="I15" s="229"/>
      <c r="J15" s="229"/>
      <c r="K15" s="229"/>
      <c r="L15" s="229"/>
      <c r="M15" s="229"/>
      <c r="N15" s="229"/>
      <c r="O15" s="229"/>
      <c r="P15" s="229"/>
      <c r="Q15" s="229"/>
      <c r="R15" s="229"/>
      <c r="S15" s="229"/>
      <c r="T15" s="136"/>
      <c r="U15" s="136"/>
      <c r="V15" s="136"/>
      <c r="W15" s="136"/>
      <c r="X15" s="136"/>
      <c r="Y15" s="136"/>
      <c r="Z15" s="136"/>
      <c r="AA15" s="136"/>
      <c r="AB15" s="136"/>
      <c r="AC15" s="136"/>
      <c r="AD15" s="136"/>
      <c r="AE15" s="136"/>
      <c r="AF15" s="136"/>
      <c r="AG15" s="136"/>
    </row>
    <row r="16" spans="1:33" s="20" customFormat="1" x14ac:dyDescent="0.55000000000000004">
      <c r="A16" s="136"/>
      <c r="B16" s="136"/>
      <c r="C16" s="136"/>
      <c r="D16" s="136"/>
      <c r="E16" s="229"/>
      <c r="F16" s="381" t="s">
        <v>139</v>
      </c>
      <c r="G16" s="229"/>
      <c r="H16" s="229"/>
      <c r="I16" s="382" t="s">
        <v>353</v>
      </c>
      <c r="J16" s="229"/>
      <c r="K16" s="229"/>
      <c r="L16" s="229"/>
      <c r="M16" s="229"/>
      <c r="N16" s="229"/>
      <c r="O16" s="229"/>
      <c r="P16" s="229"/>
      <c r="Q16" s="229"/>
      <c r="R16" s="229"/>
      <c r="S16" s="229"/>
      <c r="T16" s="136"/>
      <c r="U16" s="136"/>
      <c r="V16" s="136"/>
      <c r="W16" s="136"/>
      <c r="X16" s="136"/>
      <c r="Y16" s="136"/>
      <c r="Z16" s="136"/>
      <c r="AA16" s="136"/>
      <c r="AB16" s="136"/>
      <c r="AC16" s="136"/>
      <c r="AD16" s="136"/>
      <c r="AE16" s="136"/>
      <c r="AF16" s="136"/>
      <c r="AG16" s="136"/>
    </row>
    <row r="17" spans="1:33" s="20" customFormat="1" ht="15.6" x14ac:dyDescent="0.55000000000000004">
      <c r="A17" s="136"/>
      <c r="B17" s="136"/>
      <c r="C17" s="136"/>
      <c r="D17" s="136"/>
      <c r="E17" s="229"/>
      <c r="F17" s="229"/>
      <c r="G17" s="229"/>
      <c r="H17" s="229"/>
      <c r="I17" s="136"/>
      <c r="J17" s="229"/>
      <c r="K17" s="475" t="s">
        <v>378</v>
      </c>
      <c r="L17" s="229"/>
      <c r="M17" s="229"/>
      <c r="N17" s="229"/>
      <c r="O17" s="229"/>
      <c r="P17" s="229"/>
      <c r="Q17" s="229"/>
      <c r="R17" s="229"/>
      <c r="S17" s="229"/>
      <c r="T17" s="136"/>
      <c r="U17" s="136"/>
      <c r="V17" s="136"/>
      <c r="W17" s="136"/>
      <c r="X17" s="136"/>
      <c r="Y17" s="136"/>
      <c r="Z17" s="136"/>
      <c r="AA17" s="136"/>
      <c r="AB17" s="136"/>
      <c r="AC17" s="136"/>
      <c r="AD17" s="136"/>
      <c r="AE17" s="136"/>
      <c r="AF17" s="136"/>
      <c r="AG17" s="136"/>
    </row>
    <row r="18" spans="1:33" s="20" customFormat="1" x14ac:dyDescent="0.55000000000000004">
      <c r="A18" s="136"/>
      <c r="B18" s="136"/>
      <c r="C18" s="136"/>
      <c r="D18" s="136"/>
      <c r="E18" s="229"/>
      <c r="F18" s="229"/>
      <c r="G18" s="136"/>
      <c r="H18" s="229"/>
      <c r="I18" s="229"/>
      <c r="J18" s="229"/>
      <c r="K18" s="229"/>
      <c r="L18" s="229"/>
      <c r="M18" s="229"/>
      <c r="N18" s="229"/>
      <c r="O18" s="229"/>
      <c r="P18" s="229"/>
      <c r="Q18" s="229"/>
      <c r="R18" s="229"/>
      <c r="S18" s="229"/>
      <c r="T18" s="136"/>
      <c r="U18" s="136"/>
      <c r="V18" s="136"/>
      <c r="W18" s="136"/>
      <c r="X18" s="136"/>
      <c r="Y18" s="136"/>
      <c r="Z18" s="136"/>
      <c r="AA18" s="136"/>
      <c r="AB18" s="136"/>
      <c r="AC18" s="136"/>
      <c r="AD18" s="136"/>
      <c r="AE18" s="136"/>
      <c r="AF18" s="136"/>
      <c r="AG18" s="136"/>
    </row>
    <row r="19" spans="1:33" s="20" customFormat="1" x14ac:dyDescent="0.55000000000000004">
      <c r="A19" s="136"/>
      <c r="B19" s="136"/>
      <c r="C19" s="136"/>
      <c r="D19" s="136"/>
      <c r="E19" s="229"/>
      <c r="F19" s="229"/>
      <c r="G19" s="229"/>
      <c r="H19" s="229"/>
      <c r="I19" s="229"/>
      <c r="J19" s="229"/>
      <c r="K19" s="229"/>
      <c r="L19" s="229"/>
      <c r="M19" s="229"/>
      <c r="N19" s="229"/>
      <c r="O19" s="229"/>
      <c r="P19" s="229"/>
      <c r="Q19" s="229"/>
      <c r="R19" s="229"/>
      <c r="S19" s="229"/>
      <c r="T19" s="136"/>
      <c r="U19" s="136"/>
      <c r="V19" s="136"/>
      <c r="W19" s="136"/>
      <c r="X19" s="136"/>
      <c r="Y19" s="136"/>
      <c r="Z19" s="136"/>
      <c r="AA19" s="136"/>
      <c r="AB19" s="136"/>
      <c r="AC19" s="136"/>
      <c r="AD19" s="136"/>
      <c r="AE19" s="136"/>
      <c r="AF19" s="136"/>
      <c r="AG19" s="136"/>
    </row>
    <row r="20" spans="1:33" s="20" customFormat="1" x14ac:dyDescent="0.55000000000000004">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row>
    <row r="21" spans="1:33" s="20" customFormat="1" x14ac:dyDescent="0.55000000000000004">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row>
    <row r="22" spans="1:33" s="9" customFormat="1" ht="14.7" thickBot="1" x14ac:dyDescent="0.6">
      <c r="A22" s="136"/>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row>
    <row r="23" spans="1:33" s="9" customFormat="1" x14ac:dyDescent="0.55000000000000004">
      <c r="A23" s="136"/>
      <c r="B23" s="476"/>
      <c r="C23" s="477"/>
      <c r="D23" s="477"/>
      <c r="E23" s="477"/>
      <c r="F23" s="477"/>
      <c r="G23" s="478" t="str">
        <f>Inventory!G3</f>
        <v>Select</v>
      </c>
      <c r="H23" s="478"/>
      <c r="I23" s="478"/>
      <c r="J23" s="477"/>
      <c r="K23" s="477"/>
      <c r="L23" s="477"/>
      <c r="M23" s="477"/>
      <c r="N23" s="479"/>
      <c r="O23" s="136"/>
      <c r="P23" s="136"/>
      <c r="Q23" s="136"/>
      <c r="R23" s="476"/>
      <c r="S23" s="477"/>
      <c r="T23" s="477"/>
      <c r="U23" s="477"/>
      <c r="V23" s="477"/>
      <c r="W23" s="480" t="str">
        <f>Inventory!K3</f>
        <v xml:space="preserve">Upgrading </v>
      </c>
      <c r="X23" s="480"/>
      <c r="Y23" s="480"/>
      <c r="Z23" s="477"/>
      <c r="AA23" s="477"/>
      <c r="AB23" s="477"/>
      <c r="AC23" s="477"/>
      <c r="AD23" s="479"/>
      <c r="AE23" s="136"/>
      <c r="AF23" s="136"/>
      <c r="AG23" s="136"/>
    </row>
    <row r="24" spans="1:33" s="9" customFormat="1" x14ac:dyDescent="0.55000000000000004">
      <c r="A24" s="136"/>
      <c r="B24" s="245"/>
      <c r="C24" s="246"/>
      <c r="D24" s="136"/>
      <c r="E24" s="246"/>
      <c r="F24" s="246"/>
      <c r="G24" s="481"/>
      <c r="H24" s="481"/>
      <c r="I24" s="481"/>
      <c r="J24" s="246"/>
      <c r="K24" s="246"/>
      <c r="L24" s="246"/>
      <c r="M24" s="246"/>
      <c r="N24" s="272"/>
      <c r="O24" s="136"/>
      <c r="P24" s="136"/>
      <c r="Q24" s="136"/>
      <c r="R24" s="245"/>
      <c r="S24" s="246"/>
      <c r="T24" s="246"/>
      <c r="U24" s="246"/>
      <c r="V24" s="246"/>
      <c r="W24" s="482"/>
      <c r="X24" s="482"/>
      <c r="Y24" s="482"/>
      <c r="Z24" s="246"/>
      <c r="AA24" s="246"/>
      <c r="AB24" s="246"/>
      <c r="AC24" s="246"/>
      <c r="AD24" s="272"/>
      <c r="AE24" s="136"/>
      <c r="AF24" s="136"/>
      <c r="AG24" s="136"/>
    </row>
    <row r="25" spans="1:33" ht="14.7" thickBot="1" x14ac:dyDescent="0.6">
      <c r="B25" s="245"/>
      <c r="C25" s="246"/>
      <c r="D25" s="246"/>
      <c r="E25" s="246"/>
      <c r="F25" s="246"/>
      <c r="G25" s="246"/>
      <c r="H25" s="246"/>
      <c r="I25" s="246"/>
      <c r="J25" s="246"/>
      <c r="K25" s="246"/>
      <c r="L25" s="246"/>
      <c r="M25" s="246"/>
      <c r="N25" s="272"/>
      <c r="R25" s="245"/>
      <c r="S25" s="246"/>
      <c r="T25" s="246"/>
      <c r="U25" s="246"/>
      <c r="V25" s="246"/>
      <c r="W25" s="246"/>
      <c r="X25" s="246"/>
      <c r="Y25" s="246"/>
      <c r="Z25" s="246"/>
      <c r="AA25" s="246"/>
      <c r="AB25" s="246"/>
      <c r="AC25" s="246"/>
      <c r="AD25" s="272"/>
    </row>
    <row r="26" spans="1:33" ht="18.3" x14ac:dyDescent="0.55000000000000004">
      <c r="B26" s="245"/>
      <c r="C26" s="383" t="s">
        <v>82</v>
      </c>
      <c r="D26" s="384"/>
      <c r="E26" s="384"/>
      <c r="F26" s="385"/>
      <c r="G26" s="246"/>
      <c r="H26" s="246"/>
      <c r="I26" s="246"/>
      <c r="J26" s="383" t="s">
        <v>81</v>
      </c>
      <c r="K26" s="384"/>
      <c r="L26" s="384"/>
      <c r="M26" s="385"/>
      <c r="N26" s="272"/>
      <c r="R26" s="245"/>
      <c r="S26" s="383" t="s">
        <v>82</v>
      </c>
      <c r="T26" s="384"/>
      <c r="U26" s="384"/>
      <c r="V26" s="385"/>
      <c r="W26" s="246"/>
      <c r="X26" s="246"/>
      <c r="Y26" s="246"/>
      <c r="Z26" s="383" t="s">
        <v>81</v>
      </c>
      <c r="AA26" s="384"/>
      <c r="AB26" s="384"/>
      <c r="AC26" s="385"/>
      <c r="AD26" s="272"/>
    </row>
    <row r="27" spans="1:33" x14ac:dyDescent="0.55000000000000004">
      <c r="B27" s="245"/>
      <c r="C27" s="483" t="s">
        <v>156</v>
      </c>
      <c r="D27" s="484"/>
      <c r="E27" s="99" t="s">
        <v>58</v>
      </c>
      <c r="F27" s="485">
        <f>(IF(E27="FP",0.7485,(IF(E27="HTL",0.62,(IF(E27="Upgrading ",0.3))))))</f>
        <v>0.74850000000000005</v>
      </c>
      <c r="G27" s="246"/>
      <c r="H27" s="246"/>
      <c r="I27" s="246"/>
      <c r="J27" s="486" t="s">
        <v>83</v>
      </c>
      <c r="K27" s="487"/>
      <c r="L27" s="139"/>
      <c r="M27" s="488"/>
      <c r="N27" s="272"/>
      <c r="R27" s="245"/>
      <c r="S27" s="483" t="s">
        <v>156</v>
      </c>
      <c r="T27" s="484"/>
      <c r="U27" s="106" t="s">
        <v>58</v>
      </c>
      <c r="V27" s="485">
        <f>(IF(U27="FP",0.7485,(IF(U27="HTL",0.62,(IF(U27="Upgrading ",0.3))))))</f>
        <v>0.74850000000000005</v>
      </c>
      <c r="W27" s="246"/>
      <c r="X27" s="246"/>
      <c r="Y27" s="246"/>
      <c r="Z27" s="486" t="s">
        <v>83</v>
      </c>
      <c r="AA27" s="487"/>
      <c r="AB27" s="487"/>
      <c r="AC27" s="488"/>
      <c r="AD27" s="272"/>
    </row>
    <row r="28" spans="1:33" x14ac:dyDescent="0.55000000000000004">
      <c r="B28" s="245"/>
      <c r="C28" s="135" t="s">
        <v>155</v>
      </c>
      <c r="D28" s="223" t="s">
        <v>462</v>
      </c>
      <c r="E28" s="224"/>
      <c r="F28" s="225"/>
      <c r="G28" s="246"/>
      <c r="H28" s="246"/>
      <c r="I28" s="246"/>
      <c r="J28" s="489"/>
      <c r="K28" s="252" t="s">
        <v>84</v>
      </c>
      <c r="L28" s="490">
        <f>((Inventory!D6*Inventory!G6)+(Inventory!D7*Inventory!G7)+(Inventory!D8*Inventory!G8)+(Inventory!D9+Inventory!G9)+(Inventory!D10*Inventory!G10)+(Inventory!D11*Inventory!G11)+(Inventory!D12*Inventory!G12)+(Inventory!D15*Inventory!G15)+(Inventory!D19*Inventory!G19)+(Inventory!D20*Inventory!G20)+(Inventory!D21*Inventory!G21)+(Inventory!D22*Inventory!G22)+(Inventory!D23*Inventory!G23)+(Inventory!D24*Inventory!G24)+(Inventory!D25*Inventory!G25)+(Inventory!D26*Inventory!G26)+(Inventory!D27*Inventory!G27)+(Inventory!D28+Inventory!G28)+(Inventory!D29*Inventory!G29)+(Inventory!D36*Inventory!G36))*Inventory!G47/1000000</f>
        <v>0</v>
      </c>
      <c r="M28" s="253" t="str">
        <f>"M"&amp;(IF(Inventory!$C$49="Eur","€/year",IF(Inventory!$C$49="USD","$/year",IF(Inventory!$C$49="NOK","Kr/year"))))</f>
        <v>MFALSE</v>
      </c>
      <c r="N28" s="272"/>
      <c r="R28" s="245"/>
      <c r="S28" s="245" t="s">
        <v>155</v>
      </c>
      <c r="T28" s="223" t="s">
        <v>381</v>
      </c>
      <c r="U28" s="224"/>
      <c r="V28" s="225"/>
      <c r="W28" s="246"/>
      <c r="X28" s="246"/>
      <c r="Y28" s="246"/>
      <c r="Z28" s="489"/>
      <c r="AA28" s="252" t="s">
        <v>84</v>
      </c>
      <c r="AB28" s="490">
        <f>((Inventory!D6*Inventory!K6)+(Inventory!D7*Inventory!K7)+(Inventory!D8*Inventory!K8)+(Inventory!D9+Inventory!K9)+(Inventory!D10*Inventory!K10)+(Inventory!D11*Inventory!K11)+(Inventory!D12*Inventory!K12)+(Inventory!D15*Inventory!K15)+(Inventory!D19*Inventory!K19)+(Inventory!D20*Inventory!K20)+(Inventory!D21*Inventory!K21)+(Inventory!D22*Inventory!K22)+(Inventory!D23*Inventory!K23)+(Inventory!D24*Inventory!K24)+(Inventory!D25*Inventory!K25)+(Inventory!D26*Inventory!K26)+(Inventory!D27+Inventory!K27)+(Inventory!D28*Inventory!K28)+(Inventory!D29*Inventory!K29)+(Inventory!D36*Inventory!K36))*Inventory!K47/1000000</f>
        <v>0</v>
      </c>
      <c r="AC28" s="253" t="str">
        <f>"M"&amp;(IF(Inventory!$C$49="Eur","€/year",IF(Inventory!$C$49="USD","$/year",IF(Inventory!$C$49="NOK","Kr/year"))))</f>
        <v>MFALSE</v>
      </c>
      <c r="AD28" s="272"/>
    </row>
    <row r="29" spans="1:33" x14ac:dyDescent="0.55000000000000004">
      <c r="B29" s="245"/>
      <c r="C29" s="138" t="s">
        <v>224</v>
      </c>
      <c r="D29" s="491">
        <f>IF(E27="FP",Inventory!G6,IF(E27="HTL",Inventory!G6,IF(Economic!E27="Upgrading ",Inventory!K19)))</f>
        <v>0</v>
      </c>
      <c r="E29" s="492" t="s">
        <v>7</v>
      </c>
      <c r="F29" s="493"/>
      <c r="G29" s="246"/>
      <c r="H29" s="246"/>
      <c r="I29" s="246"/>
      <c r="J29" s="267"/>
      <c r="K29" s="252" t="s">
        <v>85</v>
      </c>
      <c r="L29" s="490">
        <f>((Inventory!D18*Inventory!H18)+(Inventory!D16*Inventory!H16)+(Inventory!D17*Inventory!H17)+(-((Inventory!D37*Inventory!H38)+(Inventory!D39*Inventory!H39)+(Inventory!D40*Inventory!H40))))*Inventory!G47/1000000</f>
        <v>0</v>
      </c>
      <c r="M29" s="253" t="str">
        <f>"M"&amp;(IF(Inventory!$C$49="Eur","€/year",IF(Inventory!$C$49="USD","$/year",IF(Inventory!$C$49="NOK","Kr/year"))))</f>
        <v>MFALSE</v>
      </c>
      <c r="N29" s="272"/>
      <c r="R29" s="245"/>
      <c r="S29" s="486" t="s">
        <v>224</v>
      </c>
      <c r="T29" s="491">
        <f>IF(U27="FP",Inventory!G6,IF(U27="HTL",Inventory!G6,IF(Economic!U27="Upgrading ",Inventory!K19)))</f>
        <v>0</v>
      </c>
      <c r="U29" s="494" t="s">
        <v>7</v>
      </c>
      <c r="V29" s="495"/>
      <c r="W29" s="246"/>
      <c r="X29" s="246"/>
      <c r="Y29" s="246"/>
      <c r="Z29" s="267"/>
      <c r="AA29" s="252" t="s">
        <v>85</v>
      </c>
      <c r="AB29" s="490">
        <f>((Inventory!D18*Inventory!K18)+(Inventory!D16*Inventory!K16)+(Inventory!D17*Inventory!K17)-((Inventory!D37*Inventory!L38)+(Inventory!D39*Inventory!L39)+(Inventory!D40*Inventory!L40)))*Inventory!K47/1000000</f>
        <v>0</v>
      </c>
      <c r="AC29" s="253" t="str">
        <f>"M"&amp;(IF(Inventory!$C$49="Eur","€/year",IF(Inventory!$C$49="USD","$/year",IF(Inventory!$C$49="NOK","Kr/year"))))</f>
        <v>MFALSE</v>
      </c>
      <c r="AD29" s="272"/>
    </row>
    <row r="30" spans="1:33" ht="15.6" x14ac:dyDescent="0.6">
      <c r="B30" s="245"/>
      <c r="C30" s="496" t="s">
        <v>348</v>
      </c>
      <c r="D30" s="497">
        <f>(IF(D28="Contaminated wood (FP)",7271787*(D29^0.62),IF(D28="Clean wood (FP)",5851121*(D29^0.65),IF(D28="Sunflower husk (FP)",7138681*(D29^0.63),IF(D28="Sunflower husk (upgrading)",4342063*(D29^0.69),IF(D28="Contaminated wood (upgrading)",4181118*(D29^0.67),IF(D28="Food waste (HTL)",4028047*(D29^0.808078329058081),IF(D28="Food waste (upgrading)",1448703*(D29^0.540880028430404),IF(D28="Black liqour (HTL)",4260321*(D29^0.817052019693453),IF(D28="Black liqour (upgrading)",1662530*(D29^0.433085445689643))))))))))/1000000)</f>
        <v>0</v>
      </c>
      <c r="E30" s="498" t="s">
        <v>225</v>
      </c>
      <c r="F30" s="499"/>
      <c r="G30" s="246"/>
      <c r="H30" s="246"/>
      <c r="I30" s="246"/>
      <c r="J30" s="267"/>
      <c r="K30" s="252" t="s">
        <v>100</v>
      </c>
      <c r="L30" s="490">
        <f>((Inventory!D13*Inventory!G13)+(Inventory!D14*Inventory!G14))*Inventory!G47/1000000</f>
        <v>0</v>
      </c>
      <c r="M30" s="253" t="str">
        <f>"M"&amp;(IF(Inventory!$C$49="Eur","€/year",IF(Inventory!$C$49="USD","$/year",IF(Inventory!$C$49="NOK","Kr/year"))))</f>
        <v>MFALSE</v>
      </c>
      <c r="N30" s="272"/>
      <c r="R30" s="245"/>
      <c r="S30" s="496" t="s">
        <v>348</v>
      </c>
      <c r="T30" s="500">
        <f>(IF(T28="Contaminated wood (FP)",7271787*(T29^0.62),IF(T28="Clean wood (FP)",5851121*(T29^0.65),IF(T28="Sunflower husk (FP)",7138681*(T29^0.63),IF(T28="Sunflower husk (upgrading)",4342063*(T29^0.69),IF(T28="Contaminated wood (upgrading)",4181118*(T29^0.67),IF(T28="Food waste (HTL)",4608992*(T29^0.52),IF(T28="Food waste (upgrading)",3974042*(T29^0.57),IF(T28="Black liqour (HTL)",5248477*(T29^0.54),IF(T28="Black liqour (upgrading)",3130445*(T29^0.53))))))))))/1000000)</f>
        <v>0</v>
      </c>
      <c r="U30" s="501" t="s">
        <v>225</v>
      </c>
      <c r="V30" s="502"/>
      <c r="W30" s="246"/>
      <c r="X30" s="246"/>
      <c r="Y30" s="246"/>
      <c r="Z30" s="267"/>
      <c r="AA30" s="252" t="s">
        <v>100</v>
      </c>
      <c r="AB30" s="490">
        <f>((Inventory!D13*Inventory!K13)+(Inventory!D14*Inventory!K14))*Inventory!K47/1000000</f>
        <v>0</v>
      </c>
      <c r="AC30" s="253" t="str">
        <f>"M"&amp;(IF(Inventory!$C$49="Eur","€/year",IF(Inventory!$C$49="USD","$/year",IF(Inventory!$C$49="NOK","Kr/year"))))</f>
        <v>MFALSE</v>
      </c>
      <c r="AD30" s="272"/>
    </row>
    <row r="31" spans="1:33" x14ac:dyDescent="0.55000000000000004">
      <c r="B31" s="245"/>
      <c r="C31" s="496" t="s">
        <v>349</v>
      </c>
      <c r="D31" s="503" t="b">
        <f>IF(Inventory!$C$49="Eur",Economic!D30,IF(Inventory!$C$49="USD",Economic!D30*1.2,IF(Inventory!$C$49="NOK",Economic!D30*10.01)))</f>
        <v>0</v>
      </c>
      <c r="E31" s="141" t="str">
        <f>"M"&amp;(IF(Inventory!$C$49="Eur","€",IF(Inventory!$C$49="USD","$",IF(Inventory!$C$49="NOK","Kr"))))</f>
        <v>MFALSE</v>
      </c>
      <c r="F31" s="247"/>
      <c r="G31" s="246"/>
      <c r="H31" s="246"/>
      <c r="I31" s="246"/>
      <c r="J31" s="267"/>
      <c r="K31" s="252" t="s">
        <v>101</v>
      </c>
      <c r="L31" s="490">
        <f>'Social Impact'!I11*'Social Impact'!I22*'Social Impact'!I19/1000000</f>
        <v>0</v>
      </c>
      <c r="M31" s="253" t="str">
        <f>"M"&amp;(IF(Inventory!$C$49="Eur","€/year",IF(Inventory!$C$49="USD","$/year",IF(Inventory!$C$49="NOK","Kr/year"))))</f>
        <v>MFALSE</v>
      </c>
      <c r="N31" s="272"/>
      <c r="R31" s="245"/>
      <c r="S31" s="496" t="s">
        <v>349</v>
      </c>
      <c r="T31" s="503" t="b">
        <f>IF(Inventory!$C$49="Eur",T30,IF(Inventory!$C$49="USD",T30*1.2,IF(Inventory!$C$49="NOK",T30*10.01)))</f>
        <v>0</v>
      </c>
      <c r="U31" s="141" t="str">
        <f>"M"&amp;(IF(Inventory!$C$49="Eur","€",IF(Inventory!$C$49="USD","$",IF(Inventory!$C$49="NOK","Kr"))))</f>
        <v>MFALSE</v>
      </c>
      <c r="V31" s="504"/>
      <c r="W31" s="246"/>
      <c r="X31" s="246"/>
      <c r="Y31" s="246"/>
      <c r="Z31" s="267"/>
      <c r="AA31" s="252" t="s">
        <v>101</v>
      </c>
      <c r="AB31" s="490">
        <f>'Social Impact'!I12*'Social Impact'!I31*'Social Impact'!I28/1000000</f>
        <v>0</v>
      </c>
      <c r="AC31" s="253" t="str">
        <f>"M"&amp;(IF(Inventory!$C$49="Eur","€/year",IF(Inventory!$C$49="USD","$/year",IF(Inventory!$C$49="NOK","Kr/year"))))</f>
        <v>MFALSE</v>
      </c>
      <c r="AD31" s="272"/>
    </row>
    <row r="32" spans="1:33" x14ac:dyDescent="0.55000000000000004">
      <c r="B32" s="245"/>
      <c r="C32" s="505" t="s">
        <v>71</v>
      </c>
      <c r="D32" s="506"/>
      <c r="E32" s="506"/>
      <c r="F32" s="507"/>
      <c r="G32" s="246"/>
      <c r="H32" s="246"/>
      <c r="I32" s="246"/>
      <c r="J32" s="267"/>
      <c r="K32" s="252" t="s">
        <v>103</v>
      </c>
      <c r="L32" s="490">
        <f>((Inventory!D35*Inventory!G35)+(Inventory!D37*Inventory!G38)+(Inventory!D39*Inventory!G39)+(Inventory!D40*Inventory!G40))*Inventory!G47/1000000</f>
        <v>0</v>
      </c>
      <c r="M32" s="253" t="str">
        <f>"M"&amp;(IF(Inventory!$C$49="Eur","€/year",IF(Inventory!$C$49="USD","$/year",IF(Inventory!$C$49="NOK","Kr/year"))))</f>
        <v>MFALSE</v>
      </c>
      <c r="N32" s="272"/>
      <c r="R32" s="245"/>
      <c r="S32" s="505" t="s">
        <v>71</v>
      </c>
      <c r="T32" s="506"/>
      <c r="U32" s="506"/>
      <c r="V32" s="507"/>
      <c r="W32" s="246"/>
      <c r="X32" s="246"/>
      <c r="Y32" s="246"/>
      <c r="Z32" s="267"/>
      <c r="AA32" s="252" t="s">
        <v>103</v>
      </c>
      <c r="AB32" s="490">
        <f>((Inventory!D35*Inventory!K35)+(Inventory!D37*Inventory!K38)+(Inventory!D39*Inventory!K39)+(Inventory!D40*Inventory!K40))*Inventory!K47/1000000</f>
        <v>0</v>
      </c>
      <c r="AC32" s="253" t="str">
        <f>"M"&amp;(IF(Inventory!$C$49="Eur","€/year",IF(Inventory!$C$49="USD","$/year",IF(Inventory!$C$49="NOK","Kr/year"))))</f>
        <v>MFALSE</v>
      </c>
      <c r="AD32" s="272"/>
    </row>
    <row r="33" spans="2:30" x14ac:dyDescent="0.55000000000000004">
      <c r="B33" s="245"/>
      <c r="C33" s="245"/>
      <c r="D33" s="252" t="s">
        <v>70</v>
      </c>
      <c r="E33" s="100">
        <v>0.2</v>
      </c>
      <c r="F33" s="488" t="s">
        <v>36</v>
      </c>
      <c r="G33" s="246"/>
      <c r="H33" s="246"/>
      <c r="I33" s="246"/>
      <c r="J33" s="267"/>
      <c r="K33" s="252" t="s">
        <v>102</v>
      </c>
      <c r="L33" s="102">
        <v>0.2</v>
      </c>
      <c r="M33" s="253" t="s">
        <v>36</v>
      </c>
      <c r="N33" s="272"/>
      <c r="R33" s="245"/>
      <c r="S33" s="267"/>
      <c r="T33" s="252" t="s">
        <v>70</v>
      </c>
      <c r="U33" s="102">
        <v>0.25</v>
      </c>
      <c r="V33" s="253" t="s">
        <v>36</v>
      </c>
      <c r="W33" s="246"/>
      <c r="X33" s="246"/>
      <c r="Y33" s="246"/>
      <c r="Z33" s="267"/>
      <c r="AA33" s="252" t="s">
        <v>102</v>
      </c>
      <c r="AB33" s="102">
        <v>0.2</v>
      </c>
      <c r="AC33" s="253" t="s">
        <v>36</v>
      </c>
      <c r="AD33" s="272"/>
    </row>
    <row r="34" spans="2:30" x14ac:dyDescent="0.55000000000000004">
      <c r="B34" s="245"/>
      <c r="C34" s="135"/>
      <c r="D34" s="252" t="s">
        <v>429</v>
      </c>
      <c r="E34" s="100">
        <v>0.1</v>
      </c>
      <c r="F34" s="488" t="s">
        <v>36</v>
      </c>
      <c r="G34" s="246"/>
      <c r="H34" s="246"/>
      <c r="I34" s="246"/>
      <c r="J34" s="267"/>
      <c r="K34" s="252" t="s">
        <v>104</v>
      </c>
      <c r="L34" s="102">
        <v>0.01</v>
      </c>
      <c r="M34" s="253" t="s">
        <v>36</v>
      </c>
      <c r="N34" s="272"/>
      <c r="R34" s="245"/>
      <c r="S34" s="135"/>
      <c r="T34" s="252" t="s">
        <v>429</v>
      </c>
      <c r="U34" s="100">
        <v>0.1</v>
      </c>
      <c r="V34" s="488" t="s">
        <v>36</v>
      </c>
      <c r="W34" s="246"/>
      <c r="X34" s="246"/>
      <c r="Y34" s="246"/>
      <c r="Z34" s="267"/>
      <c r="AA34" s="252" t="s">
        <v>104</v>
      </c>
      <c r="AB34" s="102">
        <v>0.01</v>
      </c>
      <c r="AC34" s="253" t="s">
        <v>36</v>
      </c>
      <c r="AD34" s="272"/>
    </row>
    <row r="35" spans="2:30" x14ac:dyDescent="0.55000000000000004">
      <c r="B35" s="245"/>
      <c r="C35" s="135"/>
      <c r="D35" s="252" t="s">
        <v>430</v>
      </c>
      <c r="E35" s="100">
        <v>0.1</v>
      </c>
      <c r="F35" s="488" t="s">
        <v>36</v>
      </c>
      <c r="G35" s="246"/>
      <c r="H35" s="246"/>
      <c r="I35" s="246"/>
      <c r="J35" s="267"/>
      <c r="K35" s="252" t="s">
        <v>105</v>
      </c>
      <c r="L35" s="102">
        <v>0.15</v>
      </c>
      <c r="M35" s="253" t="s">
        <v>36</v>
      </c>
      <c r="N35" s="272"/>
      <c r="R35" s="245"/>
      <c r="S35" s="135"/>
      <c r="T35" s="252" t="s">
        <v>430</v>
      </c>
      <c r="U35" s="100">
        <v>0.1</v>
      </c>
      <c r="V35" s="488" t="s">
        <v>36</v>
      </c>
      <c r="W35" s="246"/>
      <c r="X35" s="246"/>
      <c r="Y35" s="246"/>
      <c r="Z35" s="267"/>
      <c r="AA35" s="252" t="s">
        <v>105</v>
      </c>
      <c r="AB35" s="102">
        <v>0.15</v>
      </c>
      <c r="AC35" s="253" t="s">
        <v>36</v>
      </c>
      <c r="AD35" s="272"/>
    </row>
    <row r="36" spans="2:30" x14ac:dyDescent="0.55000000000000004">
      <c r="B36" s="245"/>
      <c r="C36" s="135"/>
      <c r="D36" s="252" t="s">
        <v>431</v>
      </c>
      <c r="E36" s="100">
        <v>0.08</v>
      </c>
      <c r="F36" s="488" t="s">
        <v>36</v>
      </c>
      <c r="G36" s="246"/>
      <c r="H36" s="246"/>
      <c r="I36" s="246"/>
      <c r="J36" s="267"/>
      <c r="K36" s="252" t="s">
        <v>106</v>
      </c>
      <c r="L36" s="102">
        <v>0.1</v>
      </c>
      <c r="M36" s="253" t="s">
        <v>36</v>
      </c>
      <c r="N36" s="272"/>
      <c r="R36" s="245"/>
      <c r="S36" s="135"/>
      <c r="T36" s="252" t="s">
        <v>431</v>
      </c>
      <c r="U36" s="100">
        <v>0.08</v>
      </c>
      <c r="V36" s="488" t="s">
        <v>36</v>
      </c>
      <c r="W36" s="246"/>
      <c r="X36" s="246"/>
      <c r="Y36" s="246"/>
      <c r="Z36" s="267"/>
      <c r="AA36" s="252" t="s">
        <v>106</v>
      </c>
      <c r="AB36" s="102">
        <v>0.1</v>
      </c>
      <c r="AC36" s="253" t="s">
        <v>36</v>
      </c>
      <c r="AD36" s="272"/>
    </row>
    <row r="37" spans="2:30" x14ac:dyDescent="0.55000000000000004">
      <c r="B37" s="245"/>
      <c r="C37" s="267"/>
      <c r="D37" s="252" t="s">
        <v>416</v>
      </c>
      <c r="E37" s="101">
        <v>0.06</v>
      </c>
      <c r="F37" s="253" t="s">
        <v>36</v>
      </c>
      <c r="G37" s="246"/>
      <c r="H37" s="246"/>
      <c r="I37" s="246"/>
      <c r="J37" s="271"/>
      <c r="K37" s="252" t="s">
        <v>107</v>
      </c>
      <c r="L37" s="102">
        <v>0.01</v>
      </c>
      <c r="M37" s="253" t="s">
        <v>36</v>
      </c>
      <c r="N37" s="272"/>
      <c r="R37" s="245"/>
      <c r="S37" s="267"/>
      <c r="T37" s="252" t="s">
        <v>416</v>
      </c>
      <c r="U37" s="102">
        <v>0.05</v>
      </c>
      <c r="V37" s="253" t="s">
        <v>36</v>
      </c>
      <c r="W37" s="246"/>
      <c r="X37" s="246"/>
      <c r="Y37" s="246"/>
      <c r="Z37" s="271"/>
      <c r="AA37" s="252" t="s">
        <v>107</v>
      </c>
      <c r="AB37" s="102">
        <v>0.01</v>
      </c>
      <c r="AC37" s="253" t="s">
        <v>36</v>
      </c>
      <c r="AD37" s="272"/>
    </row>
    <row r="38" spans="2:30" x14ac:dyDescent="0.55000000000000004">
      <c r="B38" s="245"/>
      <c r="C38" s="505" t="s">
        <v>72</v>
      </c>
      <c r="D38" s="506"/>
      <c r="E38" s="506"/>
      <c r="F38" s="507"/>
      <c r="G38" s="246"/>
      <c r="H38" s="246"/>
      <c r="I38" s="246"/>
      <c r="J38" s="505" t="s">
        <v>86</v>
      </c>
      <c r="K38" s="506"/>
      <c r="L38" s="506"/>
      <c r="M38" s="507"/>
      <c r="N38" s="272"/>
      <c r="R38" s="245"/>
      <c r="S38" s="505" t="s">
        <v>72</v>
      </c>
      <c r="T38" s="506"/>
      <c r="U38" s="506"/>
      <c r="V38" s="507"/>
      <c r="W38" s="246"/>
      <c r="X38" s="246"/>
      <c r="Y38" s="246"/>
      <c r="Z38" s="508" t="s">
        <v>86</v>
      </c>
      <c r="AA38" s="252"/>
      <c r="AB38" s="140"/>
      <c r="AC38" s="488"/>
      <c r="AD38" s="272"/>
    </row>
    <row r="39" spans="2:30" x14ac:dyDescent="0.55000000000000004">
      <c r="B39" s="245"/>
      <c r="C39" s="267"/>
      <c r="D39" s="252" t="s">
        <v>73</v>
      </c>
      <c r="E39" s="102">
        <v>0.03</v>
      </c>
      <c r="F39" s="253" t="s">
        <v>36</v>
      </c>
      <c r="G39" s="246"/>
      <c r="H39" s="246"/>
      <c r="I39" s="246"/>
      <c r="J39" s="267"/>
      <c r="K39" s="252" t="s">
        <v>87</v>
      </c>
      <c r="L39" s="102">
        <v>0.1</v>
      </c>
      <c r="M39" s="253" t="s">
        <v>36</v>
      </c>
      <c r="N39" s="272"/>
      <c r="R39" s="245"/>
      <c r="S39" s="267"/>
      <c r="T39" s="252" t="s">
        <v>73</v>
      </c>
      <c r="U39" s="102">
        <v>0.03</v>
      </c>
      <c r="V39" s="253" t="s">
        <v>36</v>
      </c>
      <c r="W39" s="246"/>
      <c r="X39" s="246"/>
      <c r="Y39" s="246"/>
      <c r="Z39" s="267"/>
      <c r="AA39" s="252" t="s">
        <v>87</v>
      </c>
      <c r="AB39" s="102">
        <v>0.1</v>
      </c>
      <c r="AC39" s="253" t="s">
        <v>36</v>
      </c>
      <c r="AD39" s="272"/>
    </row>
    <row r="40" spans="2:30" x14ac:dyDescent="0.55000000000000004">
      <c r="B40" s="245"/>
      <c r="C40" s="267"/>
      <c r="D40" s="252" t="s">
        <v>96</v>
      </c>
      <c r="E40" s="102">
        <v>0.06</v>
      </c>
      <c r="F40" s="253" t="s">
        <v>36</v>
      </c>
      <c r="G40" s="246"/>
      <c r="H40" s="246"/>
      <c r="I40" s="246"/>
      <c r="J40" s="267"/>
      <c r="K40" s="252" t="s">
        <v>108</v>
      </c>
      <c r="L40" s="102">
        <v>0.02</v>
      </c>
      <c r="M40" s="253" t="s">
        <v>36</v>
      </c>
      <c r="N40" s="272"/>
      <c r="R40" s="245"/>
      <c r="S40" s="267"/>
      <c r="T40" s="252" t="s">
        <v>96</v>
      </c>
      <c r="U40" s="102">
        <v>0.05</v>
      </c>
      <c r="V40" s="253" t="s">
        <v>36</v>
      </c>
      <c r="W40" s="246"/>
      <c r="X40" s="246"/>
      <c r="Y40" s="246"/>
      <c r="Z40" s="267"/>
      <c r="AA40" s="252" t="s">
        <v>108</v>
      </c>
      <c r="AB40" s="102">
        <v>0.02</v>
      </c>
      <c r="AC40" s="253" t="s">
        <v>36</v>
      </c>
      <c r="AD40" s="272"/>
    </row>
    <row r="41" spans="2:30" x14ac:dyDescent="0.55000000000000004">
      <c r="B41" s="245"/>
      <c r="C41" s="267"/>
      <c r="D41" s="252" t="s">
        <v>97</v>
      </c>
      <c r="E41" s="102">
        <v>0.15</v>
      </c>
      <c r="F41" s="253" t="s">
        <v>36</v>
      </c>
      <c r="G41" s="246"/>
      <c r="H41" s="246"/>
      <c r="I41" s="246"/>
      <c r="J41" s="267"/>
      <c r="K41" s="252" t="s">
        <v>109</v>
      </c>
      <c r="L41" s="102">
        <v>0.01</v>
      </c>
      <c r="M41" s="253" t="s">
        <v>36</v>
      </c>
      <c r="N41" s="272"/>
      <c r="R41" s="245"/>
      <c r="S41" s="267"/>
      <c r="T41" s="252" t="s">
        <v>97</v>
      </c>
      <c r="U41" s="102">
        <v>0.04</v>
      </c>
      <c r="V41" s="253" t="s">
        <v>36</v>
      </c>
      <c r="W41" s="246"/>
      <c r="X41" s="246"/>
      <c r="Y41" s="246"/>
      <c r="Z41" s="267"/>
      <c r="AA41" s="252" t="s">
        <v>109</v>
      </c>
      <c r="AB41" s="102">
        <v>0.01</v>
      </c>
      <c r="AC41" s="253" t="s">
        <v>36</v>
      </c>
      <c r="AD41" s="272"/>
    </row>
    <row r="42" spans="2:30" x14ac:dyDescent="0.55000000000000004">
      <c r="B42" s="245"/>
      <c r="C42" s="267"/>
      <c r="D42" s="252" t="s">
        <v>98</v>
      </c>
      <c r="E42" s="102">
        <v>0.3</v>
      </c>
      <c r="F42" s="253" t="s">
        <v>36</v>
      </c>
      <c r="G42" s="246"/>
      <c r="H42" s="246"/>
      <c r="I42" s="246"/>
      <c r="J42" s="505" t="s">
        <v>90</v>
      </c>
      <c r="K42" s="506"/>
      <c r="L42" s="506"/>
      <c r="M42" s="507"/>
      <c r="N42" s="272"/>
      <c r="R42" s="245"/>
      <c r="S42" s="267"/>
      <c r="T42" s="252" t="s">
        <v>98</v>
      </c>
      <c r="U42" s="102">
        <v>0.15</v>
      </c>
      <c r="V42" s="253" t="s">
        <v>36</v>
      </c>
      <c r="W42" s="246"/>
      <c r="X42" s="246"/>
      <c r="Y42" s="246"/>
      <c r="Z42" s="508" t="s">
        <v>90</v>
      </c>
      <c r="AA42" s="252"/>
      <c r="AB42" s="252"/>
      <c r="AC42" s="488"/>
      <c r="AD42" s="272"/>
    </row>
    <row r="43" spans="2:30" x14ac:dyDescent="0.55000000000000004">
      <c r="B43" s="245"/>
      <c r="C43" s="416" t="s">
        <v>74</v>
      </c>
      <c r="D43" s="417"/>
      <c r="E43" s="417"/>
      <c r="F43" s="418"/>
      <c r="G43" s="246"/>
      <c r="H43" s="246"/>
      <c r="I43" s="246"/>
      <c r="J43" s="267"/>
      <c r="K43" s="252" t="s">
        <v>91</v>
      </c>
      <c r="L43" s="102">
        <v>0.25</v>
      </c>
      <c r="M43" s="253" t="s">
        <v>36</v>
      </c>
      <c r="N43" s="272"/>
      <c r="R43" s="245"/>
      <c r="S43" s="416" t="s">
        <v>74</v>
      </c>
      <c r="T43" s="417"/>
      <c r="U43" s="417"/>
      <c r="V43" s="418"/>
      <c r="W43" s="246"/>
      <c r="X43" s="246"/>
      <c r="Y43" s="246"/>
      <c r="Z43" s="267"/>
      <c r="AA43" s="252" t="s">
        <v>91</v>
      </c>
      <c r="AB43" s="102">
        <v>0.25</v>
      </c>
      <c r="AC43" s="253" t="s">
        <v>36</v>
      </c>
      <c r="AD43" s="272"/>
    </row>
    <row r="44" spans="2:30" x14ac:dyDescent="0.55000000000000004">
      <c r="B44" s="245"/>
      <c r="C44" s="267"/>
      <c r="D44" s="252" t="s">
        <v>75</v>
      </c>
      <c r="E44" s="102">
        <v>0.02</v>
      </c>
      <c r="F44" s="253" t="s">
        <v>36</v>
      </c>
      <c r="G44" s="246"/>
      <c r="H44" s="246"/>
      <c r="I44" s="246"/>
      <c r="J44" s="267"/>
      <c r="K44" s="252" t="s">
        <v>110</v>
      </c>
      <c r="L44" s="102">
        <v>0.01</v>
      </c>
      <c r="M44" s="253" t="s">
        <v>36</v>
      </c>
      <c r="N44" s="272"/>
      <c r="R44" s="245"/>
      <c r="S44" s="267"/>
      <c r="T44" s="252" t="s">
        <v>75</v>
      </c>
      <c r="U44" s="102">
        <v>0.02</v>
      </c>
      <c r="V44" s="253" t="s">
        <v>36</v>
      </c>
      <c r="W44" s="246"/>
      <c r="X44" s="246"/>
      <c r="Y44" s="246"/>
      <c r="Z44" s="267"/>
      <c r="AA44" s="252" t="s">
        <v>110</v>
      </c>
      <c r="AB44" s="102">
        <v>0.01</v>
      </c>
      <c r="AC44" s="253" t="s">
        <v>36</v>
      </c>
      <c r="AD44" s="272"/>
    </row>
    <row r="45" spans="2:30" ht="14.7" thickBot="1" x14ac:dyDescent="0.6">
      <c r="B45" s="245"/>
      <c r="C45" s="291"/>
      <c r="D45" s="509" t="s">
        <v>99</v>
      </c>
      <c r="E45" s="103">
        <v>0.15</v>
      </c>
      <c r="F45" s="422" t="s">
        <v>36</v>
      </c>
      <c r="G45" s="246"/>
      <c r="H45" s="246"/>
      <c r="I45" s="246"/>
      <c r="J45" s="267"/>
      <c r="K45" s="252" t="s">
        <v>93</v>
      </c>
      <c r="L45" s="102">
        <v>0.01</v>
      </c>
      <c r="M45" s="253" t="s">
        <v>36</v>
      </c>
      <c r="N45" s="272"/>
      <c r="R45" s="245"/>
      <c r="S45" s="291"/>
      <c r="T45" s="509" t="s">
        <v>99</v>
      </c>
      <c r="U45" s="103">
        <v>0.15</v>
      </c>
      <c r="V45" s="422" t="s">
        <v>36</v>
      </c>
      <c r="W45" s="246"/>
      <c r="X45" s="246"/>
      <c r="Y45" s="246"/>
      <c r="Z45" s="267"/>
      <c r="AA45" s="252" t="s">
        <v>93</v>
      </c>
      <c r="AB45" s="102">
        <v>0.01</v>
      </c>
      <c r="AC45" s="253" t="s">
        <v>36</v>
      </c>
      <c r="AD45" s="272"/>
    </row>
    <row r="46" spans="2:30" x14ac:dyDescent="0.55000000000000004">
      <c r="B46" s="245"/>
      <c r="C46" s="229"/>
      <c r="D46" s="229"/>
      <c r="E46" s="229"/>
      <c r="F46" s="229"/>
      <c r="G46" s="246"/>
      <c r="H46" s="246"/>
      <c r="I46" s="246"/>
      <c r="J46" s="505" t="s">
        <v>94</v>
      </c>
      <c r="K46" s="506"/>
      <c r="L46" s="506"/>
      <c r="M46" s="507"/>
      <c r="N46" s="272"/>
      <c r="R46" s="245"/>
      <c r="S46" s="246"/>
      <c r="T46" s="246"/>
      <c r="U46" s="510"/>
      <c r="V46" s="246"/>
      <c r="W46" s="246"/>
      <c r="X46" s="246"/>
      <c r="Y46" s="246"/>
      <c r="Z46" s="508" t="s">
        <v>94</v>
      </c>
      <c r="AA46" s="252"/>
      <c r="AB46" s="252"/>
      <c r="AC46" s="488"/>
      <c r="AD46" s="272"/>
    </row>
    <row r="47" spans="2:30" ht="14.7" thickBot="1" x14ac:dyDescent="0.6">
      <c r="B47" s="245"/>
      <c r="C47" s="229"/>
      <c r="D47" s="229"/>
      <c r="E47" s="229"/>
      <c r="F47" s="229"/>
      <c r="G47" s="246"/>
      <c r="H47" s="246"/>
      <c r="I47" s="246"/>
      <c r="J47" s="412"/>
      <c r="K47" s="511" t="s">
        <v>94</v>
      </c>
      <c r="L47" s="104">
        <v>0.1</v>
      </c>
      <c r="M47" s="272" t="s">
        <v>36</v>
      </c>
      <c r="N47" s="272"/>
      <c r="R47" s="245"/>
      <c r="S47" s="512"/>
      <c r="T47" s="246"/>
      <c r="U47" s="246"/>
      <c r="V47" s="246"/>
      <c r="W47" s="246"/>
      <c r="X47" s="246"/>
      <c r="Y47" s="246"/>
      <c r="Z47" s="412"/>
      <c r="AA47" s="511" t="s">
        <v>94</v>
      </c>
      <c r="AB47" s="104">
        <v>0.1</v>
      </c>
      <c r="AC47" s="272" t="s">
        <v>36</v>
      </c>
      <c r="AD47" s="272"/>
    </row>
    <row r="48" spans="2:30" ht="18.3" x14ac:dyDescent="0.7">
      <c r="B48" s="245"/>
      <c r="C48" s="513" t="s">
        <v>76</v>
      </c>
      <c r="D48" s="514"/>
      <c r="E48" s="514"/>
      <c r="F48" s="515"/>
      <c r="G48" s="246"/>
      <c r="H48" s="246"/>
      <c r="I48" s="246"/>
      <c r="J48" s="505" t="s">
        <v>95</v>
      </c>
      <c r="K48" s="506"/>
      <c r="L48" s="506"/>
      <c r="M48" s="507"/>
      <c r="N48" s="272"/>
      <c r="R48" s="245"/>
      <c r="S48" s="516" t="s">
        <v>76</v>
      </c>
      <c r="T48" s="517"/>
      <c r="U48" s="517"/>
      <c r="V48" s="518"/>
      <c r="W48" s="246"/>
      <c r="X48" s="246"/>
      <c r="Y48" s="246"/>
      <c r="Z48" s="508" t="s">
        <v>95</v>
      </c>
      <c r="AA48" s="252"/>
      <c r="AB48" s="252"/>
      <c r="AC48" s="488"/>
      <c r="AD48" s="272"/>
    </row>
    <row r="49" spans="2:30" ht="14.7" thickBot="1" x14ac:dyDescent="0.6">
      <c r="B49" s="245"/>
      <c r="C49" s="171" t="s">
        <v>421</v>
      </c>
      <c r="D49" s="172"/>
      <c r="E49" s="519" t="b">
        <f>D31</f>
        <v>0</v>
      </c>
      <c r="F49" s="520" t="str">
        <f>"M"&amp;(IF(Inventory!$C$49="Eur","€",IF(Inventory!$C$49="USD","$",IF(Inventory!$C$49="NOK","Kr"))))</f>
        <v>MFALSE</v>
      </c>
      <c r="G49" s="246"/>
      <c r="H49" s="246"/>
      <c r="I49" s="246"/>
      <c r="J49" s="291"/>
      <c r="K49" s="509" t="s">
        <v>95</v>
      </c>
      <c r="L49" s="105">
        <v>0.2</v>
      </c>
      <c r="M49" s="521" t="s">
        <v>36</v>
      </c>
      <c r="N49" s="272"/>
      <c r="R49" s="245"/>
      <c r="S49" s="416" t="s">
        <v>77</v>
      </c>
      <c r="T49" s="522"/>
      <c r="U49" s="523" t="b">
        <f>T31</f>
        <v>0</v>
      </c>
      <c r="V49" s="520" t="str">
        <f>"M"&amp;(IF(Inventory!$C$49="Eur","€",IF(Inventory!$C$49="USD","$",IF(Inventory!$C$49="NOK","Kr"))))</f>
        <v>MFALSE</v>
      </c>
      <c r="W49" s="246"/>
      <c r="X49" s="246"/>
      <c r="Y49" s="246"/>
      <c r="Z49" s="291"/>
      <c r="AA49" s="509" t="s">
        <v>95</v>
      </c>
      <c r="AB49" s="105">
        <v>0.2</v>
      </c>
      <c r="AC49" s="521" t="s">
        <v>36</v>
      </c>
      <c r="AD49" s="272"/>
    </row>
    <row r="50" spans="2:30" x14ac:dyDescent="0.55000000000000004">
      <c r="B50" s="245"/>
      <c r="C50" s="171" t="s">
        <v>422</v>
      </c>
      <c r="D50" s="172"/>
      <c r="E50" s="524">
        <f>E49+(E33*E49)+(E37*E49)+(E34*E49)+(E35*E49)+(E36*E49)</f>
        <v>0</v>
      </c>
      <c r="F50" s="520" t="str">
        <f>"M"&amp;(IF(Inventory!$C$49="Eur","€",IF(Inventory!$C$49="USD","$",IF(Inventory!$C$49="NOK","Kr"))))</f>
        <v>MFALSE</v>
      </c>
      <c r="G50" s="246"/>
      <c r="H50" s="246"/>
      <c r="I50" s="246"/>
      <c r="J50" s="246"/>
      <c r="K50" s="246"/>
      <c r="L50" s="246"/>
      <c r="M50" s="246"/>
      <c r="N50" s="272"/>
      <c r="R50" s="245"/>
      <c r="S50" s="416" t="s">
        <v>78</v>
      </c>
      <c r="T50" s="522"/>
      <c r="U50" s="525">
        <f>U49+(U33*U49)+(U37*U49)+(U34*U49)+(U35*U49)+(U36*U49)</f>
        <v>0</v>
      </c>
      <c r="V50" s="520" t="str">
        <f>"M"&amp;(IF(Inventory!$C$49="Eur","€",IF(Inventory!$C$49="USD","$",IF(Inventory!$C$49="NOK","Kr"))))</f>
        <v>MFALSE</v>
      </c>
      <c r="W50" s="246"/>
      <c r="X50" s="246"/>
      <c r="Y50" s="246"/>
      <c r="Z50" s="246"/>
      <c r="AA50" s="246"/>
      <c r="AB50" s="246"/>
      <c r="AC50" s="246"/>
      <c r="AD50" s="272"/>
    </row>
    <row r="51" spans="2:30" x14ac:dyDescent="0.55000000000000004">
      <c r="B51" s="245"/>
      <c r="C51" s="171" t="s">
        <v>423</v>
      </c>
      <c r="D51" s="172"/>
      <c r="E51" s="524">
        <f>(E39*E50*F27)+(E40*E50*F27)+(E41*E50*F27)+(E42*E50*F27)+E50</f>
        <v>0</v>
      </c>
      <c r="F51" s="520" t="str">
        <f>"M"&amp;(IF(Inventory!$C$49="Eur","€",IF(Inventory!$C$49="USD","$",IF(Inventory!$C$49="NOK","Kr"))))</f>
        <v>MFALSE</v>
      </c>
      <c r="G51" s="246"/>
      <c r="H51" s="246"/>
      <c r="I51" s="246"/>
      <c r="J51" s="246"/>
      <c r="K51" s="246"/>
      <c r="L51" s="246"/>
      <c r="M51" s="246"/>
      <c r="N51" s="272"/>
      <c r="R51" s="245"/>
      <c r="S51" s="416" t="s">
        <v>79</v>
      </c>
      <c r="T51" s="522"/>
      <c r="U51" s="525">
        <f>(U39*U50*V27)+(U40*U50*V27)+(U41*U50*V27)+(U42*U50*V27)+U50</f>
        <v>0</v>
      </c>
      <c r="V51" s="520" t="str">
        <f>"M"&amp;(IF(Inventory!$C$49="Eur","€",IF(Inventory!$C$49="USD","$",IF(Inventory!$C$49="NOK","Kr"))))</f>
        <v>MFALSE</v>
      </c>
      <c r="W51" s="246"/>
      <c r="X51" s="246"/>
      <c r="Y51" s="246"/>
      <c r="Z51" s="246"/>
      <c r="AA51" s="246"/>
      <c r="AB51" s="246"/>
      <c r="AC51" s="246"/>
      <c r="AD51" s="272"/>
    </row>
    <row r="52" spans="2:30" ht="14.7" thickBot="1" x14ac:dyDescent="0.6">
      <c r="B52" s="245"/>
      <c r="C52" s="171" t="s">
        <v>424</v>
      </c>
      <c r="D52" s="172"/>
      <c r="E52" s="524">
        <f>ROUNDUP((E51+(E44*E51)+(E45*E51)),0)</f>
        <v>0</v>
      </c>
      <c r="F52" s="526" t="str">
        <f>"M"&amp;(IF(Inventory!$C$49="Eur","€",IF(Inventory!$C$49="USD","$",IF(Inventory!$C$49="NOK","Kr"))))</f>
        <v>MFALSE</v>
      </c>
      <c r="G52" s="246"/>
      <c r="H52" s="246"/>
      <c r="I52" s="246"/>
      <c r="J52" s="246"/>
      <c r="K52" s="246"/>
      <c r="L52" s="246"/>
      <c r="M52" s="246"/>
      <c r="N52" s="272"/>
      <c r="R52" s="245"/>
      <c r="S52" s="527" t="s">
        <v>80</v>
      </c>
      <c r="T52" s="528"/>
      <c r="U52" s="529">
        <f>ROUNDUP((U51+(U44*U51)+(U45*U51)),0)</f>
        <v>0</v>
      </c>
      <c r="V52" s="530" t="str">
        <f>"M"&amp;(IF(Inventory!$C$49="Eur","€",IF(Inventory!$C$49="USD","$",IF(Inventory!$C$49="NOK","Kr"))))</f>
        <v>MFALSE</v>
      </c>
      <c r="W52" s="246"/>
      <c r="X52" s="246"/>
      <c r="Y52" s="246"/>
      <c r="Z52" s="246"/>
      <c r="AA52" s="246"/>
      <c r="AB52" s="246"/>
      <c r="AC52" s="246"/>
      <c r="AD52" s="272"/>
    </row>
    <row r="53" spans="2:30" ht="14.7" thickBot="1" x14ac:dyDescent="0.6">
      <c r="B53" s="245"/>
      <c r="C53" s="531" t="str">
        <f>"Total capital investments for " &amp; Inventory!G4 &amp; " unit"</f>
        <v>Total capital investments for  unit</v>
      </c>
      <c r="D53" s="532"/>
      <c r="E53" s="533">
        <f>ROUNDUP((E52*Inventory!G4),0)</f>
        <v>0</v>
      </c>
      <c r="F53" s="530" t="str">
        <f>"M"&amp;(IF(Inventory!$C$49="Eur","€",IF(Inventory!$C$49="USD","$",IF(Inventory!$C$49="NOK","Kr"))))</f>
        <v>MFALSE</v>
      </c>
      <c r="G53" s="246"/>
      <c r="H53" s="246"/>
      <c r="I53" s="246"/>
      <c r="J53" s="246"/>
      <c r="K53" s="246"/>
      <c r="L53" s="246"/>
      <c r="M53" s="246"/>
      <c r="N53" s="272"/>
      <c r="R53" s="245"/>
      <c r="S53" s="246"/>
      <c r="T53" s="246"/>
      <c r="U53" s="246"/>
      <c r="V53" s="246"/>
      <c r="W53" s="246"/>
      <c r="X53" s="246"/>
      <c r="Y53" s="246"/>
      <c r="Z53" s="246"/>
      <c r="AA53" s="246"/>
      <c r="AB53" s="246"/>
      <c r="AC53" s="246"/>
      <c r="AD53" s="272"/>
    </row>
    <row r="54" spans="2:30" x14ac:dyDescent="0.55000000000000004">
      <c r="B54" s="245"/>
      <c r="C54" s="246"/>
      <c r="D54" s="246"/>
      <c r="E54" s="246"/>
      <c r="F54" s="246"/>
      <c r="G54" s="246"/>
      <c r="H54" s="246"/>
      <c r="I54" s="246"/>
      <c r="J54" s="246"/>
      <c r="K54" s="246"/>
      <c r="L54" s="246"/>
      <c r="M54" s="246"/>
      <c r="N54" s="272"/>
      <c r="R54" s="245"/>
      <c r="S54" s="246"/>
      <c r="T54" s="246"/>
      <c r="U54" s="246"/>
      <c r="V54" s="246"/>
      <c r="W54" s="246"/>
      <c r="X54" s="246"/>
      <c r="Y54" s="246"/>
      <c r="Z54" s="246"/>
      <c r="AA54" s="246"/>
      <c r="AB54" s="246"/>
      <c r="AC54" s="246"/>
      <c r="AD54" s="272"/>
    </row>
    <row r="55" spans="2:30" x14ac:dyDescent="0.55000000000000004">
      <c r="B55" s="245"/>
      <c r="C55" s="246"/>
      <c r="D55" s="246"/>
      <c r="E55" s="246"/>
      <c r="F55" s="246"/>
      <c r="G55" s="246"/>
      <c r="H55" s="246"/>
      <c r="I55" s="246"/>
      <c r="J55" s="246"/>
      <c r="K55" s="246"/>
      <c r="L55" s="246"/>
      <c r="M55" s="246"/>
      <c r="N55" s="272"/>
      <c r="R55" s="245"/>
      <c r="S55" s="246"/>
      <c r="T55" s="246"/>
      <c r="U55" s="246"/>
      <c r="V55" s="246"/>
      <c r="W55" s="246"/>
      <c r="X55" s="246"/>
      <c r="Y55" s="246"/>
      <c r="Z55" s="246"/>
      <c r="AA55" s="246"/>
      <c r="AB55" s="246"/>
      <c r="AC55" s="246"/>
      <c r="AD55" s="272"/>
    </row>
    <row r="56" spans="2:30" ht="14.7" thickBot="1" x14ac:dyDescent="0.6">
      <c r="B56" s="245"/>
      <c r="C56" s="246"/>
      <c r="D56" s="246"/>
      <c r="E56" s="246"/>
      <c r="F56" s="246"/>
      <c r="G56" s="246"/>
      <c r="H56" s="246"/>
      <c r="I56" s="246"/>
      <c r="J56" s="246"/>
      <c r="K56" s="246"/>
      <c r="L56" s="246"/>
      <c r="M56" s="246"/>
      <c r="N56" s="272"/>
      <c r="R56" s="245"/>
      <c r="S56" s="246"/>
      <c r="T56" s="246"/>
      <c r="U56" s="246"/>
      <c r="V56" s="246"/>
      <c r="W56" s="246"/>
      <c r="X56" s="246"/>
      <c r="Y56" s="246"/>
      <c r="Z56" s="246"/>
      <c r="AA56" s="246"/>
      <c r="AB56" s="246"/>
      <c r="AC56" s="246"/>
      <c r="AD56" s="272"/>
    </row>
    <row r="57" spans="2:30" ht="18.3" x14ac:dyDescent="0.7">
      <c r="B57" s="245"/>
      <c r="C57" s="229"/>
      <c r="D57" s="229"/>
      <c r="E57" s="229"/>
      <c r="F57" s="229"/>
      <c r="G57" s="246"/>
      <c r="H57" s="246"/>
      <c r="I57" s="246"/>
      <c r="J57" s="534" t="s">
        <v>113</v>
      </c>
      <c r="K57" s="535"/>
      <c r="L57" s="535"/>
      <c r="M57" s="536"/>
      <c r="N57" s="272"/>
      <c r="R57" s="245"/>
      <c r="S57" s="246"/>
      <c r="T57" s="246"/>
      <c r="U57" s="246"/>
      <c r="V57" s="246"/>
      <c r="W57" s="246"/>
      <c r="X57" s="246"/>
      <c r="Y57" s="246"/>
      <c r="Z57" s="534" t="s">
        <v>113</v>
      </c>
      <c r="AA57" s="535"/>
      <c r="AB57" s="535"/>
      <c r="AC57" s="536"/>
      <c r="AD57" s="272"/>
    </row>
    <row r="58" spans="2:30" x14ac:dyDescent="0.55000000000000004">
      <c r="B58" s="245"/>
      <c r="C58" s="229"/>
      <c r="D58" s="229"/>
      <c r="E58" s="229"/>
      <c r="F58" s="229"/>
      <c r="G58" s="246"/>
      <c r="H58" s="246"/>
      <c r="I58" s="246"/>
      <c r="J58" s="483" t="s">
        <v>83</v>
      </c>
      <c r="K58" s="537"/>
      <c r="L58" s="537"/>
      <c r="M58" s="538"/>
      <c r="N58" s="272"/>
      <c r="R58" s="245"/>
      <c r="S58" s="246"/>
      <c r="T58" s="246"/>
      <c r="U58" s="246"/>
      <c r="V58" s="246"/>
      <c r="W58" s="246"/>
      <c r="X58" s="246"/>
      <c r="Y58" s="246"/>
      <c r="Z58" s="539" t="s">
        <v>83</v>
      </c>
      <c r="AA58" s="540"/>
      <c r="AB58" s="540"/>
      <c r="AC58" s="541"/>
      <c r="AD58" s="272"/>
    </row>
    <row r="59" spans="2:30" x14ac:dyDescent="0.55000000000000004">
      <c r="B59" s="245"/>
      <c r="C59" s="229"/>
      <c r="D59" s="229"/>
      <c r="E59" s="229"/>
      <c r="F59" s="229"/>
      <c r="G59" s="246"/>
      <c r="H59" s="246"/>
      <c r="I59" s="246"/>
      <c r="J59" s="267"/>
      <c r="K59" s="262" t="s">
        <v>102</v>
      </c>
      <c r="L59" s="262">
        <f>L33*L31</f>
        <v>0</v>
      </c>
      <c r="M59" s="542" t="str">
        <f>"M"&amp;(IF(Inventory!$C$49="Eur","€/year",IF(Inventory!$C$49="USD","$/year",IF(Inventory!$C$49="NOK","Kr/year"))))</f>
        <v>MFALSE</v>
      </c>
      <c r="N59" s="272"/>
      <c r="R59" s="245"/>
      <c r="S59" s="246"/>
      <c r="T59" s="246"/>
      <c r="U59" s="246"/>
      <c r="V59" s="246"/>
      <c r="W59" s="246"/>
      <c r="X59" s="246"/>
      <c r="Y59" s="246"/>
      <c r="Z59" s="245"/>
      <c r="AA59" s="252" t="s">
        <v>102</v>
      </c>
      <c r="AB59" s="262">
        <f>AB33*AB31</f>
        <v>0</v>
      </c>
      <c r="AC59" s="542" t="str">
        <f>"M"&amp;(IF(Inventory!$C$49="Eur","€/year",IF(Inventory!$C$49="USD","$/year",IF(Inventory!$C$49="NOK","Kr/year"))))</f>
        <v>MFALSE</v>
      </c>
      <c r="AD59" s="272"/>
    </row>
    <row r="60" spans="2:30" x14ac:dyDescent="0.55000000000000004">
      <c r="B60" s="245"/>
      <c r="C60" s="229"/>
      <c r="D60" s="229"/>
      <c r="E60" s="229"/>
      <c r="F60" s="229"/>
      <c r="G60" s="246"/>
      <c r="H60" s="246"/>
      <c r="I60" s="246"/>
      <c r="J60" s="267"/>
      <c r="K60" s="262" t="s">
        <v>104</v>
      </c>
      <c r="L60" s="262">
        <f>L34*E51</f>
        <v>0</v>
      </c>
      <c r="M60" s="542" t="str">
        <f>"M"&amp;(IF(Inventory!$C$49="Eur","€/year",IF(Inventory!$C$49="USD","$/year",IF(Inventory!$C$49="NOK","Kr/year"))))</f>
        <v>MFALSE</v>
      </c>
      <c r="N60" s="272"/>
      <c r="R60" s="245"/>
      <c r="S60" s="246"/>
      <c r="T60" s="246"/>
      <c r="U60" s="246"/>
      <c r="V60" s="246"/>
      <c r="W60" s="246"/>
      <c r="X60" s="246"/>
      <c r="Y60" s="246"/>
      <c r="Z60" s="245"/>
      <c r="AA60" s="252" t="s">
        <v>104</v>
      </c>
      <c r="AB60" s="262">
        <f>AB34*U51</f>
        <v>0</v>
      </c>
      <c r="AC60" s="542" t="str">
        <f>"M"&amp;(IF(Inventory!$C$49="Eur","€/year",IF(Inventory!$C$49="USD","$/year",IF(Inventory!$C$49="NOK","Kr/year"))))</f>
        <v>MFALSE</v>
      </c>
      <c r="AD60" s="272"/>
    </row>
    <row r="61" spans="2:30" x14ac:dyDescent="0.55000000000000004">
      <c r="B61" s="245"/>
      <c r="C61" s="229"/>
      <c r="D61" s="229"/>
      <c r="E61" s="229"/>
      <c r="F61" s="229"/>
      <c r="G61" s="246"/>
      <c r="H61" s="246"/>
      <c r="I61" s="246"/>
      <c r="J61" s="267"/>
      <c r="K61" s="262" t="s">
        <v>105</v>
      </c>
      <c r="L61" s="262">
        <f>L35*L60</f>
        <v>0</v>
      </c>
      <c r="M61" s="542" t="str">
        <f>"M"&amp;(IF(Inventory!$C$49="Eur","€/year",IF(Inventory!$C$49="USD","$/year",IF(Inventory!$C$49="NOK","Kr/year"))))</f>
        <v>MFALSE</v>
      </c>
      <c r="N61" s="272"/>
      <c r="R61" s="245"/>
      <c r="S61" s="246"/>
      <c r="T61" s="246"/>
      <c r="U61" s="246"/>
      <c r="V61" s="246"/>
      <c r="W61" s="246"/>
      <c r="X61" s="246"/>
      <c r="Y61" s="246"/>
      <c r="Z61" s="245"/>
      <c r="AA61" s="252" t="s">
        <v>105</v>
      </c>
      <c r="AB61" s="262">
        <f>AB35*AB60</f>
        <v>0</v>
      </c>
      <c r="AC61" s="542" t="str">
        <f>"M"&amp;(IF(Inventory!$C$49="Eur","€/year",IF(Inventory!$C$49="USD","$/year",IF(Inventory!$C$49="NOK","Kr/year"))))</f>
        <v>MFALSE</v>
      </c>
      <c r="AD61" s="272"/>
    </row>
    <row r="62" spans="2:30" x14ac:dyDescent="0.55000000000000004">
      <c r="B62" s="245"/>
      <c r="C62" s="229"/>
      <c r="D62" s="229"/>
      <c r="E62" s="229"/>
      <c r="F62" s="229"/>
      <c r="G62" s="246"/>
      <c r="H62" s="246"/>
      <c r="I62" s="246"/>
      <c r="J62" s="267"/>
      <c r="K62" s="262" t="s">
        <v>106</v>
      </c>
      <c r="L62" s="262">
        <f>L36*L31</f>
        <v>0</v>
      </c>
      <c r="M62" s="542" t="str">
        <f>"M"&amp;(IF(Inventory!$C$49="Eur","€/year",IF(Inventory!$C$49="USD","$/year",IF(Inventory!$C$49="NOK","Kr/year"))))</f>
        <v>MFALSE</v>
      </c>
      <c r="N62" s="272"/>
      <c r="R62" s="245"/>
      <c r="S62" s="246"/>
      <c r="T62" s="246"/>
      <c r="U62" s="246"/>
      <c r="V62" s="246"/>
      <c r="W62" s="246"/>
      <c r="X62" s="246"/>
      <c r="Y62" s="246"/>
      <c r="Z62" s="245"/>
      <c r="AA62" s="252" t="s">
        <v>106</v>
      </c>
      <c r="AB62" s="262">
        <f>AB36*AB31</f>
        <v>0</v>
      </c>
      <c r="AC62" s="542" t="str">
        <f>"M"&amp;(IF(Inventory!$C$49="Eur","€/year",IF(Inventory!$C$49="USD","$/year",IF(Inventory!$C$49="NOK","Kr/year"))))</f>
        <v>MFALSE</v>
      </c>
      <c r="AD62" s="272"/>
    </row>
    <row r="63" spans="2:30" x14ac:dyDescent="0.55000000000000004">
      <c r="B63" s="245"/>
      <c r="C63" s="229"/>
      <c r="D63" s="229"/>
      <c r="E63" s="229"/>
      <c r="F63" s="229"/>
      <c r="G63" s="246"/>
      <c r="H63" s="246"/>
      <c r="I63" s="246"/>
      <c r="J63" s="271"/>
      <c r="K63" s="262" t="s">
        <v>107</v>
      </c>
      <c r="L63" s="262">
        <f>L37*(SUM(L28:L32)+SUM(L65:L67)+SUM(L59:L62)+L69+L73)/(1-L37-L44-L45)</f>
        <v>0</v>
      </c>
      <c r="M63" s="542" t="str">
        <f>"M"&amp;(IF(Inventory!$C$49="Eur","€/year",IF(Inventory!$C$49="USD","$/year",IF(Inventory!$C$49="NOK","Kr/year"))))</f>
        <v>MFALSE</v>
      </c>
      <c r="N63" s="272"/>
      <c r="R63" s="245"/>
      <c r="S63" s="246"/>
      <c r="T63" s="246"/>
      <c r="U63" s="246"/>
      <c r="V63" s="246"/>
      <c r="W63" s="246"/>
      <c r="X63" s="246"/>
      <c r="Y63" s="246"/>
      <c r="Z63" s="245"/>
      <c r="AA63" s="419" t="s">
        <v>107</v>
      </c>
      <c r="AB63" s="543">
        <f>AB37*(SUM(AB28:AB32)+SUM(AB65:AB67)+SUM(AB59:AB62)+AB69+AB73)/(1-AB37-AB44-AB45)</f>
        <v>0</v>
      </c>
      <c r="AC63" s="542" t="str">
        <f>"M"&amp;(IF(Inventory!$C$49="Eur","€/year",IF(Inventory!$C$49="USD","$/year",IF(Inventory!$C$49="NOK","Kr/year"))))</f>
        <v>MFALSE</v>
      </c>
      <c r="AD63" s="272"/>
    </row>
    <row r="64" spans="2:30" x14ac:dyDescent="0.55000000000000004">
      <c r="B64" s="245"/>
      <c r="C64" s="229"/>
      <c r="D64" s="229"/>
      <c r="E64" s="229"/>
      <c r="F64" s="229"/>
      <c r="G64" s="246"/>
      <c r="H64" s="246"/>
      <c r="I64" s="246"/>
      <c r="J64" s="505" t="s">
        <v>111</v>
      </c>
      <c r="K64" s="506"/>
      <c r="L64" s="506"/>
      <c r="M64" s="507"/>
      <c r="N64" s="272"/>
      <c r="R64" s="245"/>
      <c r="S64" s="246"/>
      <c r="T64" s="246"/>
      <c r="U64" s="246"/>
      <c r="V64" s="246"/>
      <c r="W64" s="246"/>
      <c r="X64" s="246"/>
      <c r="Y64" s="246"/>
      <c r="Z64" s="505" t="s">
        <v>111</v>
      </c>
      <c r="AA64" s="506"/>
      <c r="AB64" s="506"/>
      <c r="AC64" s="507"/>
      <c r="AD64" s="272"/>
    </row>
    <row r="65" spans="1:33" x14ac:dyDescent="0.55000000000000004">
      <c r="B65" s="245"/>
      <c r="C65" s="246"/>
      <c r="D65" s="246"/>
      <c r="E65" s="544"/>
      <c r="F65" s="246"/>
      <c r="G65" s="246"/>
      <c r="H65" s="246"/>
      <c r="I65" s="246"/>
      <c r="J65" s="267"/>
      <c r="K65" s="262" t="s">
        <v>87</v>
      </c>
      <c r="L65" s="262">
        <f>L39*(L31+L59+L60)</f>
        <v>0</v>
      </c>
      <c r="M65" s="542" t="str">
        <f>"M"&amp;(IF(Inventory!$C$49="Eur","€/year",IF(Inventory!$C$49="USD","$/year",IF(Inventory!$C$49="NOK","Kr/year"))))</f>
        <v>MFALSE</v>
      </c>
      <c r="N65" s="272"/>
      <c r="R65" s="245"/>
      <c r="S65" s="246"/>
      <c r="T65" s="246"/>
      <c r="U65" s="246"/>
      <c r="V65" s="246"/>
      <c r="W65" s="246"/>
      <c r="X65" s="246"/>
      <c r="Y65" s="246"/>
      <c r="Z65" s="245"/>
      <c r="AA65" s="252" t="s">
        <v>87</v>
      </c>
      <c r="AB65" s="262">
        <f>AB39*(AB31+AB59+AB60)</f>
        <v>0</v>
      </c>
      <c r="AC65" s="542" t="str">
        <f>"M"&amp;(IF(Inventory!$C$49="Eur","€/year",IF(Inventory!$C$49="USD","$/year",IF(Inventory!$C$49="NOK","Kr/year"))))</f>
        <v>MFALSE</v>
      </c>
      <c r="AD65" s="272"/>
    </row>
    <row r="66" spans="1:33" x14ac:dyDescent="0.55000000000000004">
      <c r="B66" s="245"/>
      <c r="C66" s="512"/>
      <c r="D66" s="246"/>
      <c r="E66" s="544"/>
      <c r="F66" s="246"/>
      <c r="G66" s="246"/>
      <c r="H66" s="246"/>
      <c r="I66" s="246"/>
      <c r="J66" s="267"/>
      <c r="K66" s="262" t="s">
        <v>88</v>
      </c>
      <c r="L66" s="262">
        <f>L40*E51</f>
        <v>0</v>
      </c>
      <c r="M66" s="542" t="str">
        <f>"M"&amp;(IF(Inventory!$C$49="Eur","€/year",IF(Inventory!$C$49="USD","$/year",IF(Inventory!$C$49="NOK","Kr/year"))))</f>
        <v>MFALSE</v>
      </c>
      <c r="N66" s="272"/>
      <c r="R66" s="245"/>
      <c r="S66" s="512"/>
      <c r="T66" s="246"/>
      <c r="U66" s="246"/>
      <c r="V66" s="246"/>
      <c r="W66" s="246"/>
      <c r="X66" s="246"/>
      <c r="Y66" s="246"/>
      <c r="Z66" s="245"/>
      <c r="AA66" s="252" t="s">
        <v>88</v>
      </c>
      <c r="AB66" s="262">
        <f>AB40*U51</f>
        <v>0</v>
      </c>
      <c r="AC66" s="542" t="str">
        <f>"M"&amp;(IF(Inventory!$C$49="Eur","€/year",IF(Inventory!$C$49="USD","$/year",IF(Inventory!$C$49="NOK","Kr/year"))))</f>
        <v>MFALSE</v>
      </c>
      <c r="AD66" s="272"/>
    </row>
    <row r="67" spans="1:33" x14ac:dyDescent="0.55000000000000004">
      <c r="B67" s="245"/>
      <c r="C67" s="246"/>
      <c r="D67" s="246"/>
      <c r="E67" s="246"/>
      <c r="F67" s="246"/>
      <c r="G67" s="246"/>
      <c r="H67" s="246"/>
      <c r="I67" s="246"/>
      <c r="J67" s="267"/>
      <c r="K67" s="543" t="s">
        <v>89</v>
      </c>
      <c r="L67" s="543">
        <f>L41*E51</f>
        <v>0</v>
      </c>
      <c r="M67" s="542" t="str">
        <f>"M"&amp;(IF(Inventory!$C$49="Eur","€/year",IF(Inventory!$C$49="USD","$/year",IF(Inventory!$C$49="NOK","Kr/year"))))</f>
        <v>MFALSE</v>
      </c>
      <c r="N67" s="272"/>
      <c r="R67" s="245"/>
      <c r="S67" s="246"/>
      <c r="T67" s="246"/>
      <c r="U67" s="246"/>
      <c r="V67" s="246"/>
      <c r="W67" s="246"/>
      <c r="X67" s="246"/>
      <c r="Y67" s="246"/>
      <c r="Z67" s="245"/>
      <c r="AA67" s="419" t="s">
        <v>89</v>
      </c>
      <c r="AB67" s="543">
        <f>AB41*U51</f>
        <v>0</v>
      </c>
      <c r="AC67" s="542" t="str">
        <f>"M"&amp;(IF(Inventory!$C$49="Eur","€/year",IF(Inventory!$C$49="USD","$/year",IF(Inventory!$C$49="NOK","Kr/year"))))</f>
        <v>MFALSE</v>
      </c>
      <c r="AD67" s="272"/>
    </row>
    <row r="68" spans="1:33" x14ac:dyDescent="0.55000000000000004">
      <c r="B68" s="245"/>
      <c r="C68" s="246"/>
      <c r="D68" s="246"/>
      <c r="E68" s="544"/>
      <c r="F68" s="246"/>
      <c r="G68" s="246"/>
      <c r="H68" s="246"/>
      <c r="I68" s="246"/>
      <c r="J68" s="505" t="s">
        <v>90</v>
      </c>
      <c r="K68" s="506"/>
      <c r="L68" s="506"/>
      <c r="M68" s="507"/>
      <c r="N68" s="272"/>
      <c r="R68" s="245"/>
      <c r="S68" s="246"/>
      <c r="T68" s="246"/>
      <c r="U68" s="246"/>
      <c r="V68" s="246"/>
      <c r="W68" s="246"/>
      <c r="X68" s="246"/>
      <c r="Y68" s="246"/>
      <c r="Z68" s="505" t="s">
        <v>90</v>
      </c>
      <c r="AA68" s="506"/>
      <c r="AB68" s="506"/>
      <c r="AC68" s="507"/>
      <c r="AD68" s="272"/>
    </row>
    <row r="69" spans="1:33" x14ac:dyDescent="0.55000000000000004">
      <c r="B69" s="245"/>
      <c r="C69" s="229"/>
      <c r="D69" s="229"/>
      <c r="E69" s="229"/>
      <c r="F69" s="229"/>
      <c r="G69" s="246"/>
      <c r="H69" s="246"/>
      <c r="I69" s="246"/>
      <c r="J69" s="267"/>
      <c r="K69" s="262" t="s">
        <v>91</v>
      </c>
      <c r="L69" s="262">
        <f>L43*L65</f>
        <v>0</v>
      </c>
      <c r="M69" s="542" t="str">
        <f>"M"&amp;(IF(Inventory!$C$49="Eur","€/year",IF(Inventory!$C$49="USD","$/year",IF(Inventory!$C$49="NOK","Kr/year"))))</f>
        <v>MFALSE</v>
      </c>
      <c r="N69" s="272"/>
      <c r="R69" s="245"/>
      <c r="S69" s="246"/>
      <c r="T69" s="246"/>
      <c r="U69" s="246"/>
      <c r="V69" s="246"/>
      <c r="W69" s="246"/>
      <c r="X69" s="246"/>
      <c r="Y69" s="246"/>
      <c r="Z69" s="245"/>
      <c r="AA69" s="252" t="s">
        <v>91</v>
      </c>
      <c r="AB69" s="262">
        <f>AB43*AB65</f>
        <v>0</v>
      </c>
      <c r="AC69" s="542" t="str">
        <f>"M"&amp;(IF(Inventory!$C$49="Eur","€/year",IF(Inventory!$C$49="USD","$/year",IF(Inventory!$C$49="NOK","Kr/year"))))</f>
        <v>MFALSE</v>
      </c>
      <c r="AD69" s="272"/>
    </row>
    <row r="70" spans="1:33" x14ac:dyDescent="0.55000000000000004">
      <c r="B70" s="245"/>
      <c r="C70" s="229"/>
      <c r="D70" s="229"/>
      <c r="E70" s="229"/>
      <c r="F70" s="229"/>
      <c r="G70" s="246"/>
      <c r="H70" s="246"/>
      <c r="I70" s="246"/>
      <c r="J70" s="267"/>
      <c r="K70" s="262" t="s">
        <v>92</v>
      </c>
      <c r="L70" s="262">
        <f>L44*(SUM(L28:L32)+SUM(L59:L62)+SUM(L65:L67)+L69+L73)/(1-L37-L44-L45)</f>
        <v>0</v>
      </c>
      <c r="M70" s="542" t="str">
        <f>"M"&amp;(IF(Inventory!$C$49="Eur","€/year",IF(Inventory!$C$49="USD","$/year",IF(Inventory!$C$49="NOK","Kr/year"))))</f>
        <v>MFALSE</v>
      </c>
      <c r="N70" s="272"/>
      <c r="R70" s="245"/>
      <c r="S70" s="246"/>
      <c r="T70" s="246"/>
      <c r="U70" s="246"/>
      <c r="V70" s="246"/>
      <c r="W70" s="246"/>
      <c r="X70" s="246"/>
      <c r="Y70" s="246"/>
      <c r="Z70" s="245"/>
      <c r="AA70" s="252" t="s">
        <v>92</v>
      </c>
      <c r="AB70" s="262">
        <f>AB44*(SUM(AB28:AB32)+SUM(AB59:AB62)+SUM(AB65:AB67)+AB69+AB73)/(1-AB37-AB44-AB45)</f>
        <v>0</v>
      </c>
      <c r="AC70" s="542" t="str">
        <f>"M"&amp;(IF(Inventory!$C$49="Eur","€/year",IF(Inventory!$C$49="USD","$/year",IF(Inventory!$C$49="NOK","Kr/year"))))</f>
        <v>MFALSE</v>
      </c>
      <c r="AD70" s="272"/>
    </row>
    <row r="71" spans="1:33" x14ac:dyDescent="0.55000000000000004">
      <c r="B71" s="245"/>
      <c r="C71" s="229"/>
      <c r="D71" s="229"/>
      <c r="E71" s="229"/>
      <c r="F71" s="229"/>
      <c r="G71" s="246"/>
      <c r="H71" s="246"/>
      <c r="I71" s="246"/>
      <c r="J71" s="267"/>
      <c r="K71" s="543" t="s">
        <v>93</v>
      </c>
      <c r="L71" s="543">
        <f>L45*(SUM(L28:L32)+SUM(L59:L62)+SUM(L65:L67)+L69+L73)/(1-L37-L44-L45)</f>
        <v>0</v>
      </c>
      <c r="M71" s="542" t="str">
        <f>"M"&amp;(IF(Inventory!$C$49="Eur","€/year",IF(Inventory!$C$49="USD","$/year",IF(Inventory!$C$49="NOK","Kr/year"))))</f>
        <v>MFALSE</v>
      </c>
      <c r="N71" s="272"/>
      <c r="R71" s="245"/>
      <c r="S71" s="246"/>
      <c r="T71" s="246"/>
      <c r="U71" s="246"/>
      <c r="V71" s="246"/>
      <c r="W71" s="246"/>
      <c r="X71" s="246"/>
      <c r="Y71" s="246"/>
      <c r="Z71" s="245"/>
      <c r="AA71" s="419" t="s">
        <v>93</v>
      </c>
      <c r="AB71" s="543">
        <f>AB45*(SUM(AB28:AB32)+SUM(AB59:AB62)+SUM(AB65:AB67)+AB69+AB73)/(1-AB37-AB44-AB45)</f>
        <v>0</v>
      </c>
      <c r="AC71" s="542" t="str">
        <f>"M"&amp;(IF(Inventory!$C$49="Eur","€/year",IF(Inventory!$C$49="USD","$/year",IF(Inventory!$C$49="NOK","Kr/year"))))</f>
        <v>MFALSE</v>
      </c>
      <c r="AD71" s="272"/>
    </row>
    <row r="72" spans="1:33" x14ac:dyDescent="0.55000000000000004">
      <c r="B72" s="245"/>
      <c r="C72" s="229"/>
      <c r="D72" s="229"/>
      <c r="E72" s="229"/>
      <c r="F72" s="229"/>
      <c r="G72" s="246"/>
      <c r="H72" s="246"/>
      <c r="I72" s="246"/>
      <c r="J72" s="505" t="s">
        <v>94</v>
      </c>
      <c r="K72" s="506"/>
      <c r="L72" s="506"/>
      <c r="M72" s="507"/>
      <c r="N72" s="272"/>
      <c r="R72" s="245"/>
      <c r="S72" s="246"/>
      <c r="T72" s="246"/>
      <c r="U72" s="246"/>
      <c r="V72" s="246"/>
      <c r="W72" s="246"/>
      <c r="X72" s="246"/>
      <c r="Y72" s="246"/>
      <c r="Z72" s="505" t="s">
        <v>94</v>
      </c>
      <c r="AA72" s="506"/>
      <c r="AB72" s="506"/>
      <c r="AC72" s="507"/>
      <c r="AD72" s="272"/>
    </row>
    <row r="73" spans="1:33" x14ac:dyDescent="0.55000000000000004">
      <c r="B73" s="245"/>
      <c r="C73" s="246"/>
      <c r="D73" s="246"/>
      <c r="E73" s="246"/>
      <c r="F73" s="246"/>
      <c r="G73" s="246"/>
      <c r="H73" s="246"/>
      <c r="I73" s="246"/>
      <c r="J73" s="251"/>
      <c r="K73" s="262" t="s">
        <v>94</v>
      </c>
      <c r="L73" s="262">
        <f>L47*E51</f>
        <v>0</v>
      </c>
      <c r="M73" s="542" t="str">
        <f>"M"&amp;(IF(Inventory!$C$49="Eur","€/year",IF(Inventory!$C$49="USD","$/year",IF(Inventory!$C$49="NOK","Kr/year"))))</f>
        <v>MFALSE</v>
      </c>
      <c r="N73" s="272"/>
      <c r="R73" s="245"/>
      <c r="S73" s="246"/>
      <c r="T73" s="246"/>
      <c r="U73" s="246"/>
      <c r="V73" s="246"/>
      <c r="W73" s="246"/>
      <c r="X73" s="246"/>
      <c r="Y73" s="246"/>
      <c r="Z73" s="245"/>
      <c r="AA73" s="419" t="s">
        <v>94</v>
      </c>
      <c r="AB73" s="543">
        <f>AB47*U51</f>
        <v>0</v>
      </c>
      <c r="AC73" s="542" t="str">
        <f>"M"&amp;(IF(Inventory!$C$49="Eur","€/year",IF(Inventory!$C$49="USD","$/year",IF(Inventory!$C$49="NOK","Kr/year"))))</f>
        <v>MFALSE</v>
      </c>
      <c r="AD73" s="272"/>
    </row>
    <row r="74" spans="1:33" x14ac:dyDescent="0.55000000000000004">
      <c r="B74" s="245"/>
      <c r="C74" s="246"/>
      <c r="D74" s="246"/>
      <c r="E74" s="246"/>
      <c r="F74" s="246"/>
      <c r="G74" s="246"/>
      <c r="H74" s="246"/>
      <c r="I74" s="246"/>
      <c r="J74" s="505" t="s">
        <v>95</v>
      </c>
      <c r="K74" s="506"/>
      <c r="L74" s="506"/>
      <c r="M74" s="507"/>
      <c r="N74" s="272"/>
      <c r="R74" s="245"/>
      <c r="S74" s="246"/>
      <c r="T74" s="246"/>
      <c r="U74" s="246"/>
      <c r="V74" s="246"/>
      <c r="W74" s="246"/>
      <c r="X74" s="246"/>
      <c r="Y74" s="246"/>
      <c r="Z74" s="505" t="s">
        <v>95</v>
      </c>
      <c r="AA74" s="506"/>
      <c r="AB74" s="506"/>
      <c r="AC74" s="507"/>
      <c r="AD74" s="272"/>
    </row>
    <row r="75" spans="1:33" x14ac:dyDescent="0.55000000000000004">
      <c r="B75" s="245"/>
      <c r="C75" s="246"/>
      <c r="D75" s="246"/>
      <c r="E75" s="246"/>
      <c r="F75" s="246"/>
      <c r="G75" s="246"/>
      <c r="H75" s="246"/>
      <c r="I75" s="246"/>
      <c r="J75" s="267"/>
      <c r="K75" s="543" t="s">
        <v>95</v>
      </c>
      <c r="L75" s="543">
        <f>L49*E51</f>
        <v>0</v>
      </c>
      <c r="M75" s="545" t="str">
        <f>"M"&amp;(IF(Inventory!$C$49="Eur","€/year",IF(Inventory!$C$49="USD","$/year",IF(Inventory!$C$49="NOK","Kr/year"))))</f>
        <v>MFALSE</v>
      </c>
      <c r="N75" s="272"/>
      <c r="R75" s="245"/>
      <c r="S75" s="246"/>
      <c r="T75" s="246"/>
      <c r="U75" s="246"/>
      <c r="V75" s="246"/>
      <c r="W75" s="246"/>
      <c r="X75" s="246"/>
      <c r="Y75" s="246"/>
      <c r="Z75" s="546"/>
      <c r="AA75" s="252" t="s">
        <v>95</v>
      </c>
      <c r="AB75" s="262">
        <f>AB49*U51</f>
        <v>0</v>
      </c>
      <c r="AC75" s="547" t="str">
        <f>"M"&amp;(IF(Inventory!$C$49="Eur","€/year",IF(Inventory!$C$49="USD","$/year",IF(Inventory!$C$49="NOK","Kr/year"))))</f>
        <v>MFALSE</v>
      </c>
      <c r="AD75" s="272"/>
    </row>
    <row r="76" spans="1:33" s="5" customFormat="1" x14ac:dyDescent="0.55000000000000004">
      <c r="A76" s="136"/>
      <c r="B76" s="245"/>
      <c r="C76" s="246"/>
      <c r="D76" s="246"/>
      <c r="E76" s="246"/>
      <c r="F76" s="246"/>
      <c r="G76" s="246"/>
      <c r="H76" s="246"/>
      <c r="I76" s="246"/>
      <c r="J76" s="548"/>
      <c r="K76" s="210"/>
      <c r="L76" s="210"/>
      <c r="M76" s="549"/>
      <c r="N76" s="272"/>
      <c r="O76" s="136"/>
      <c r="P76" s="136"/>
      <c r="Q76" s="136"/>
      <c r="R76" s="245"/>
      <c r="S76" s="246"/>
      <c r="T76" s="246"/>
      <c r="U76" s="246"/>
      <c r="V76" s="246"/>
      <c r="W76" s="246"/>
      <c r="X76" s="246"/>
      <c r="Y76" s="246"/>
      <c r="Z76" s="548"/>
      <c r="AA76" s="210"/>
      <c r="AB76" s="210"/>
      <c r="AC76" s="549"/>
      <c r="AD76" s="272"/>
      <c r="AE76" s="136"/>
      <c r="AF76" s="136"/>
      <c r="AG76" s="136"/>
    </row>
    <row r="77" spans="1:33" x14ac:dyDescent="0.55000000000000004">
      <c r="B77" s="245"/>
      <c r="C77" s="246"/>
      <c r="D77" s="246"/>
      <c r="E77" s="246"/>
      <c r="F77" s="246"/>
      <c r="G77" s="246"/>
      <c r="H77" s="246"/>
      <c r="I77" s="246"/>
      <c r="J77" s="496" t="s">
        <v>115</v>
      </c>
      <c r="K77" s="550"/>
      <c r="L77" s="551">
        <f>SUM(L59:L63)+SUM(L28:L32)</f>
        <v>0</v>
      </c>
      <c r="M77" s="552" t="str">
        <f>"M"&amp;(IF(Inventory!$C$49="Eur","€/year",IF(Inventory!$C$49="USD","$/year",IF(Inventory!$C$49="NOK","Kr/year"))))</f>
        <v>MFALSE</v>
      </c>
      <c r="N77" s="272"/>
      <c r="R77" s="245"/>
      <c r="S77" s="246"/>
      <c r="T77" s="246"/>
      <c r="U77" s="246"/>
      <c r="V77" s="246"/>
      <c r="W77" s="246"/>
      <c r="X77" s="246"/>
      <c r="Y77" s="246"/>
      <c r="Z77" s="505" t="s">
        <v>115</v>
      </c>
      <c r="AA77" s="553"/>
      <c r="AB77" s="554">
        <f>SUM(AB59:AB63)+SUM(AB28:AB32)</f>
        <v>0</v>
      </c>
      <c r="AC77" s="555" t="str">
        <f>"M"&amp;(IF(Inventory!$C$49="Eur","€/year",IF(Inventory!$C$49="USD","$/year",IF(Inventory!$C$49="NOK","Kr/year"))))</f>
        <v>MFALSE</v>
      </c>
      <c r="AD77" s="272"/>
    </row>
    <row r="78" spans="1:33" x14ac:dyDescent="0.55000000000000004">
      <c r="B78" s="245"/>
      <c r="C78" s="246"/>
      <c r="D78" s="246"/>
      <c r="E78" s="246"/>
      <c r="F78" s="246"/>
      <c r="G78" s="246"/>
      <c r="H78" s="246"/>
      <c r="I78" s="246"/>
      <c r="J78" s="508" t="s">
        <v>116</v>
      </c>
      <c r="K78" s="262"/>
      <c r="L78" s="556">
        <f>SUM(L65:L67)</f>
        <v>0</v>
      </c>
      <c r="M78" s="555" t="str">
        <f>"M"&amp;(IF(Inventory!$C$49="Eur","€/year",IF(Inventory!$C$49="USD","$/year",IF(Inventory!$C$49="NOK","Kr/year"))))</f>
        <v>MFALSE</v>
      </c>
      <c r="N78" s="272"/>
      <c r="R78" s="245"/>
      <c r="S78" s="246"/>
      <c r="T78" s="246"/>
      <c r="U78" s="246"/>
      <c r="V78" s="246"/>
      <c r="W78" s="246"/>
      <c r="X78" s="246"/>
      <c r="Y78" s="246"/>
      <c r="Z78" s="416" t="s">
        <v>116</v>
      </c>
      <c r="AA78" s="522"/>
      <c r="AB78" s="556">
        <f>SUM(AB65:AB67)</f>
        <v>0</v>
      </c>
      <c r="AC78" s="555" t="str">
        <f>"M"&amp;(IF(Inventory!$C$49="Eur","€/year",IF(Inventory!$C$49="USD","$/year",IF(Inventory!$C$49="NOK","Kr/year"))))</f>
        <v>MFALSE</v>
      </c>
      <c r="AD78" s="272"/>
    </row>
    <row r="79" spans="1:33" x14ac:dyDescent="0.55000000000000004">
      <c r="B79" s="245"/>
      <c r="C79" s="246"/>
      <c r="D79" s="246"/>
      <c r="E79" s="246"/>
      <c r="F79" s="246"/>
      <c r="G79" s="246"/>
      <c r="H79" s="246"/>
      <c r="I79" s="246"/>
      <c r="J79" s="508" t="s">
        <v>117</v>
      </c>
      <c r="K79" s="262"/>
      <c r="L79" s="556">
        <f>SUM(L69:L71)</f>
        <v>0</v>
      </c>
      <c r="M79" s="555" t="str">
        <f>"M"&amp;(IF(Inventory!$C$49="Eur","€/year",IF(Inventory!$C$49="USD","$/year",IF(Inventory!$C$49="NOK","Kr/year"))))</f>
        <v>MFALSE</v>
      </c>
      <c r="N79" s="272"/>
      <c r="R79" s="245"/>
      <c r="S79" s="246"/>
      <c r="T79" s="246"/>
      <c r="U79" s="246"/>
      <c r="V79" s="246"/>
      <c r="W79" s="246"/>
      <c r="X79" s="246"/>
      <c r="Y79" s="246"/>
      <c r="Z79" s="416" t="s">
        <v>117</v>
      </c>
      <c r="AA79" s="557"/>
      <c r="AB79" s="556">
        <f>SUM(AB69:AB71)</f>
        <v>0</v>
      </c>
      <c r="AC79" s="555" t="str">
        <f>"M"&amp;(IF(Inventory!$C$49="Eur","€/year",IF(Inventory!$C$49="USD","$/year",IF(Inventory!$C$49="NOK","Kr/year"))))</f>
        <v>MFALSE</v>
      </c>
      <c r="AD79" s="272"/>
    </row>
    <row r="80" spans="1:33" x14ac:dyDescent="0.55000000000000004">
      <c r="B80" s="245"/>
      <c r="C80" s="246"/>
      <c r="D80" s="246"/>
      <c r="E80" s="246"/>
      <c r="F80" s="246"/>
      <c r="G80" s="246"/>
      <c r="H80" s="246"/>
      <c r="I80" s="246"/>
      <c r="J80" s="508" t="s">
        <v>119</v>
      </c>
      <c r="K80" s="262"/>
      <c r="L80" s="556">
        <f>L73</f>
        <v>0</v>
      </c>
      <c r="M80" s="555" t="str">
        <f>"M"&amp;(IF(Inventory!$C$49="Eur","€/year",IF(Inventory!$C$49="USD","$/year",IF(Inventory!$C$49="NOK","Kr/year"))))</f>
        <v>MFALSE</v>
      </c>
      <c r="N80" s="272"/>
      <c r="R80" s="245"/>
      <c r="S80" s="246"/>
      <c r="T80" s="246"/>
      <c r="U80" s="246"/>
      <c r="V80" s="246"/>
      <c r="W80" s="246"/>
      <c r="X80" s="246"/>
      <c r="Y80" s="246"/>
      <c r="Z80" s="416" t="s">
        <v>119</v>
      </c>
      <c r="AA80" s="522"/>
      <c r="AB80" s="556">
        <f>AB73</f>
        <v>0</v>
      </c>
      <c r="AC80" s="555" t="str">
        <f>"M"&amp;(IF(Inventory!$C$49="Eur","€/year",IF(Inventory!$C$49="USD","$/year",IF(Inventory!$C$49="NOK","Kr/year"))))</f>
        <v>MFALSE</v>
      </c>
      <c r="AD80" s="272"/>
    </row>
    <row r="81" spans="2:30" x14ac:dyDescent="0.55000000000000004">
      <c r="B81" s="245"/>
      <c r="C81" s="246"/>
      <c r="D81" s="246"/>
      <c r="E81" s="246"/>
      <c r="F81" s="246"/>
      <c r="G81" s="246"/>
      <c r="H81" s="246"/>
      <c r="I81" s="246"/>
      <c r="J81" s="508" t="s">
        <v>118</v>
      </c>
      <c r="K81" s="262"/>
      <c r="L81" s="556">
        <f>L75</f>
        <v>0</v>
      </c>
      <c r="M81" s="555" t="str">
        <f>"M"&amp;(IF(Inventory!$C$49="Eur","€/year",IF(Inventory!$C$49="USD","$/year",IF(Inventory!$C$49="NOK","Kr/year"))))</f>
        <v>MFALSE</v>
      </c>
      <c r="N81" s="272"/>
      <c r="R81" s="245"/>
      <c r="S81" s="246"/>
      <c r="T81" s="246"/>
      <c r="U81" s="246"/>
      <c r="V81" s="246"/>
      <c r="W81" s="246"/>
      <c r="X81" s="246"/>
      <c r="Y81" s="246"/>
      <c r="Z81" s="416" t="s">
        <v>118</v>
      </c>
      <c r="AA81" s="522"/>
      <c r="AB81" s="556">
        <f>AB75</f>
        <v>0</v>
      </c>
      <c r="AC81" s="555" t="str">
        <f>"M"&amp;(IF(Inventory!$C$49="Eur","€/year",IF(Inventory!$C$49="USD","$/year",IF(Inventory!$C$49="NOK","Kr/year"))))</f>
        <v>MFALSE</v>
      </c>
      <c r="AD81" s="272"/>
    </row>
    <row r="82" spans="2:30" ht="15.6" x14ac:dyDescent="0.6">
      <c r="B82" s="245"/>
      <c r="C82" s="246"/>
      <c r="D82" s="246"/>
      <c r="E82" s="246"/>
      <c r="F82" s="246"/>
      <c r="G82" s="246"/>
      <c r="H82" s="246"/>
      <c r="I82" s="246"/>
      <c r="J82" s="558" t="s">
        <v>112</v>
      </c>
      <c r="K82" s="262"/>
      <c r="L82" s="559">
        <f>ROUNDUP((SUM(L28:L32)+SUM(L59:L63)+SUM(L65:L67)+SUM(L69:L71)+L73+L75),0)</f>
        <v>0</v>
      </c>
      <c r="M82" s="287" t="str">
        <f>"M"&amp;(IF(Inventory!$C$49="Eur","€/year",IF(Inventory!$C$49="USD","$/year",IF(Inventory!$C$49="NOK","Kr/year"))))</f>
        <v>MFALSE</v>
      </c>
      <c r="N82" s="272"/>
      <c r="R82" s="245"/>
      <c r="S82" s="246"/>
      <c r="T82" s="246"/>
      <c r="U82" s="246"/>
      <c r="V82" s="246"/>
      <c r="W82" s="246"/>
      <c r="X82" s="246"/>
      <c r="Y82" s="246"/>
      <c r="Z82" s="560" t="s">
        <v>112</v>
      </c>
      <c r="AA82" s="557"/>
      <c r="AB82" s="561">
        <f>ROUNDUP((SUM(AB28:AB32)+SUM(AB59:AB63)+SUM(AB65:AB67)+SUM(AB69:AB71)+AB73+AB75),0)</f>
        <v>0</v>
      </c>
      <c r="AC82" s="562" t="str">
        <f>"M"&amp;(IF(Inventory!$C$49="Eur","€/year",IF(Inventory!$C$49="USD","$/year",IF(Inventory!$C$49="NOK","Kr/year"))))</f>
        <v>MFALSE</v>
      </c>
      <c r="AD82" s="272"/>
    </row>
    <row r="83" spans="2:30" ht="14.7" thickBot="1" x14ac:dyDescent="0.6">
      <c r="B83" s="245"/>
      <c r="C83" s="246"/>
      <c r="D83" s="246"/>
      <c r="E83" s="246"/>
      <c r="F83" s="246"/>
      <c r="G83" s="246"/>
      <c r="H83" s="246"/>
      <c r="I83" s="246"/>
      <c r="J83" s="420" t="s">
        <v>114</v>
      </c>
      <c r="K83" s="563"/>
      <c r="L83" s="564" t="e">
        <f>L82*1000000/(Inventory!H19*Inventory!G47)</f>
        <v>#DIV/0!</v>
      </c>
      <c r="M83" s="565" t="b">
        <f>(IF(Inventory!$C$49="Eur","€/t",IF(Inventory!$C$49="USD","$/t",IF(Inventory!$C$49="NOK","Kr/t"))))</f>
        <v>0</v>
      </c>
      <c r="N83" s="272"/>
      <c r="R83" s="245"/>
      <c r="S83" s="246"/>
      <c r="T83" s="246"/>
      <c r="U83" s="246"/>
      <c r="V83" s="246"/>
      <c r="W83" s="246"/>
      <c r="X83" s="246"/>
      <c r="Y83" s="246"/>
      <c r="Z83" s="566" t="s">
        <v>114</v>
      </c>
      <c r="AA83" s="567"/>
      <c r="AB83" s="568" t="e">
        <f>AB82*1000000/((IF(Inventory!$L$21&gt;0,Inventory!$L$21,Inventory!$L$20))*Inventory!K47)</f>
        <v>#DIV/0!</v>
      </c>
      <c r="AC83" s="569" t="b">
        <f>(IF(Inventory!$C$49="Eur","€/t",IF(Inventory!$C$49="USD","$/t",IF(Inventory!$C$49="NOK","Kr/t"))))</f>
        <v>0</v>
      </c>
      <c r="AD83" s="272"/>
    </row>
    <row r="84" spans="2:30" ht="14.7" thickBot="1" x14ac:dyDescent="0.6">
      <c r="B84" s="570"/>
      <c r="C84" s="292"/>
      <c r="D84" s="292"/>
      <c r="E84" s="292"/>
      <c r="F84" s="292"/>
      <c r="G84" s="292"/>
      <c r="H84" s="292"/>
      <c r="I84" s="292"/>
      <c r="J84" s="292"/>
      <c r="K84" s="292"/>
      <c r="L84" s="292"/>
      <c r="M84" s="292"/>
      <c r="N84" s="521"/>
      <c r="R84" s="570"/>
      <c r="S84" s="292"/>
      <c r="T84" s="292"/>
      <c r="U84" s="292"/>
      <c r="V84" s="292"/>
      <c r="W84" s="292"/>
      <c r="X84" s="292"/>
      <c r="Y84" s="292"/>
      <c r="Z84" s="292"/>
      <c r="AA84" s="292"/>
      <c r="AB84" s="292"/>
      <c r="AC84" s="292"/>
      <c r="AD84" s="521"/>
    </row>
  </sheetData>
  <sheetProtection algorithmName="SHA-512" hashValue="lYqPZwDDO6csHZ8l4qBzcnYhEZ/AtVWx+SOQ7scSyXwN8100Df3K6uYQfvIHTLHGUslLIiBj4bjocVx06gSCsQ==" saltValue="3GVwAik3yDYzMmBlNhtD9Q==" spinCount="100000" sheet="1" objects="1" scenarios="1" selectLockedCells="1"/>
  <mergeCells count="38">
    <mergeCell ref="G10:H10"/>
    <mergeCell ref="G23:I24"/>
    <mergeCell ref="S26:V26"/>
    <mergeCell ref="S32:V32"/>
    <mergeCell ref="C32:F32"/>
    <mergeCell ref="C38:F38"/>
    <mergeCell ref="F29:F31"/>
    <mergeCell ref="W23:Y24"/>
    <mergeCell ref="C26:F26"/>
    <mergeCell ref="J26:M26"/>
    <mergeCell ref="D28:F28"/>
    <mergeCell ref="C27:D27"/>
    <mergeCell ref="S27:T27"/>
    <mergeCell ref="T28:V28"/>
    <mergeCell ref="U2:AA2"/>
    <mergeCell ref="Z57:AC57"/>
    <mergeCell ref="AC2:AD2"/>
    <mergeCell ref="J57:M57"/>
    <mergeCell ref="V8:AA8"/>
    <mergeCell ref="J38:M38"/>
    <mergeCell ref="J42:M42"/>
    <mergeCell ref="J46:M46"/>
    <mergeCell ref="V29:V31"/>
    <mergeCell ref="J48:M48"/>
    <mergeCell ref="Z26:AC26"/>
    <mergeCell ref="S38:V38"/>
    <mergeCell ref="Z76:AC76"/>
    <mergeCell ref="Z64:AC64"/>
    <mergeCell ref="Z77:AA77"/>
    <mergeCell ref="Z74:AC74"/>
    <mergeCell ref="Z68:AC68"/>
    <mergeCell ref="Z72:AC72"/>
    <mergeCell ref="J58:M58"/>
    <mergeCell ref="J64:M64"/>
    <mergeCell ref="J68:M68"/>
    <mergeCell ref="J72:M72"/>
    <mergeCell ref="J76:M76"/>
    <mergeCell ref="J74:M74"/>
  </mergeCells>
  <dataValidations disablePrompts="1" count="2">
    <dataValidation type="list" allowBlank="1" showInputMessage="1" showErrorMessage="1" sqref="E27 U27" xr:uid="{C62B2EB6-6B7E-4FBF-86FB-F1B33F3BA507}">
      <formula1>"FP, HTL, Upgrading "</formula1>
    </dataValidation>
    <dataValidation type="list" allowBlank="1" showInputMessage="1" showErrorMessage="1" sqref="D28:F28 T28:V28" xr:uid="{1953DDC3-3C83-4389-AA80-8E6F02BDA563}">
      <formula1>"Select, Clean wood (FP), Contaminated wood (FP), Sunflower husk (FP), Contaminated wood (upgrading), Sunflower husk (upgrading), Food waste (HTL),  Black liqour (HTL), Food waste (upgrading), Black liqour (upgrading)"</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6F0F-7E1A-4107-9F1C-51D4796EB1DB}">
  <dimension ref="A2:U54"/>
  <sheetViews>
    <sheetView showGridLines="0" topLeftCell="A6" zoomScale="55" zoomScaleNormal="55" workbookViewId="0">
      <selection activeCell="D27" sqref="D27"/>
    </sheetView>
  </sheetViews>
  <sheetFormatPr defaultRowHeight="14.4" x14ac:dyDescent="0.55000000000000004"/>
  <cols>
    <col min="1" max="1" width="8.83984375" style="136"/>
    <col min="2" max="2" width="22.5234375" style="136" customWidth="1"/>
    <col min="3" max="3" width="29.41796875" style="136" customWidth="1"/>
    <col min="4" max="4" width="10.1015625" style="136" customWidth="1"/>
    <col min="5" max="5" width="10.83984375" style="136" customWidth="1"/>
    <col min="6" max="6" width="12" style="136" customWidth="1"/>
    <col min="7" max="7" width="18.3671875" style="136" customWidth="1"/>
    <col min="8" max="8" width="8.83984375" style="136"/>
    <col min="9" max="9" width="9.1015625" style="136" bestFit="1" customWidth="1"/>
    <col min="10" max="10" width="8.83984375" style="136" customWidth="1"/>
    <col min="11" max="12" width="8.83984375" style="136"/>
    <col min="13" max="13" width="14" style="136" customWidth="1"/>
    <col min="14" max="14" width="22.5234375" style="136" bestFit="1" customWidth="1"/>
    <col min="15" max="16" width="8.83984375" style="136"/>
    <col min="17" max="17" width="21.5234375" style="136" customWidth="1"/>
    <col min="18" max="18" width="11.5234375" style="136" bestFit="1" customWidth="1"/>
    <col min="19" max="19" width="11.1015625" style="136" bestFit="1" customWidth="1"/>
    <col min="20" max="21" width="8.83984375" style="136"/>
  </cols>
  <sheetData>
    <row r="2" spans="1:21" s="23" customFormat="1" x14ac:dyDescent="0.55000000000000004">
      <c r="A2" s="136"/>
      <c r="B2" s="136"/>
      <c r="C2" s="136"/>
      <c r="D2" s="136"/>
      <c r="E2" s="136"/>
      <c r="F2" s="136"/>
      <c r="G2" s="136"/>
      <c r="H2" s="136"/>
      <c r="I2" s="136"/>
      <c r="J2" s="136"/>
      <c r="K2" s="136"/>
      <c r="L2" s="136"/>
      <c r="M2" s="136"/>
      <c r="N2" s="136"/>
      <c r="O2" s="136"/>
      <c r="P2" s="136"/>
      <c r="Q2" s="136"/>
      <c r="R2" s="136"/>
      <c r="S2" s="136"/>
      <c r="T2" s="136"/>
      <c r="U2" s="136"/>
    </row>
    <row r="3" spans="1:21" s="23" customFormat="1" ht="15.6" x14ac:dyDescent="0.6">
      <c r="A3" s="136"/>
      <c r="B3" s="136"/>
      <c r="C3" s="229"/>
      <c r="D3" s="230" t="s">
        <v>138</v>
      </c>
      <c r="E3" s="136"/>
      <c r="F3" s="136"/>
      <c r="G3" s="229"/>
      <c r="H3" s="229"/>
      <c r="I3" s="230" t="s">
        <v>377</v>
      </c>
      <c r="J3" s="136"/>
      <c r="K3" s="229"/>
      <c r="L3" s="136"/>
      <c r="M3" s="229"/>
      <c r="N3" s="230" t="s">
        <v>151</v>
      </c>
      <c r="O3" s="229"/>
      <c r="P3" s="136"/>
      <c r="Q3" s="229"/>
      <c r="R3" s="136"/>
      <c r="S3" s="136"/>
      <c r="T3" s="136"/>
      <c r="U3" s="136"/>
    </row>
    <row r="4" spans="1:21" s="23" customFormat="1" x14ac:dyDescent="0.55000000000000004">
      <c r="A4" s="136"/>
      <c r="B4" s="136"/>
      <c r="C4" s="229"/>
      <c r="D4" s="229"/>
      <c r="E4" s="229"/>
      <c r="F4" s="229"/>
      <c r="G4" s="229"/>
      <c r="H4" s="229"/>
      <c r="I4" s="229"/>
      <c r="J4" s="229"/>
      <c r="K4" s="229"/>
      <c r="L4" s="229"/>
      <c r="M4" s="229"/>
      <c r="N4" s="229"/>
      <c r="O4" s="229"/>
      <c r="P4" s="229"/>
      <c r="Q4" s="229"/>
      <c r="R4" s="136"/>
      <c r="S4" s="136"/>
      <c r="T4" s="136"/>
      <c r="U4" s="136"/>
    </row>
    <row r="5" spans="1:21" s="23" customFormat="1" x14ac:dyDescent="0.55000000000000004">
      <c r="A5" s="136"/>
      <c r="B5" s="136"/>
      <c r="C5" s="229"/>
      <c r="D5" s="229"/>
      <c r="E5" s="229"/>
      <c r="F5" s="229"/>
      <c r="G5" s="229"/>
      <c r="H5" s="229"/>
      <c r="I5" s="229"/>
      <c r="J5" s="229"/>
      <c r="K5" s="229"/>
      <c r="L5" s="229"/>
      <c r="M5" s="229"/>
      <c r="N5" s="229"/>
      <c r="O5" s="229"/>
      <c r="P5" s="229"/>
      <c r="Q5" s="229"/>
      <c r="R5" s="136"/>
      <c r="S5" s="136"/>
      <c r="T5" s="136"/>
      <c r="U5" s="136"/>
    </row>
    <row r="6" spans="1:21" s="23" customFormat="1" x14ac:dyDescent="0.55000000000000004">
      <c r="A6" s="136"/>
      <c r="B6" s="136"/>
      <c r="C6" s="229"/>
      <c r="D6" s="229"/>
      <c r="E6" s="229"/>
      <c r="F6" s="136"/>
      <c r="G6" s="229"/>
      <c r="H6" s="229"/>
      <c r="I6" s="229"/>
      <c r="J6" s="229"/>
      <c r="K6" s="229"/>
      <c r="L6" s="229"/>
      <c r="M6" s="229"/>
      <c r="N6" s="229"/>
      <c r="O6" s="229"/>
      <c r="P6" s="229"/>
      <c r="Q6" s="229"/>
      <c r="R6" s="136"/>
      <c r="S6" s="136"/>
      <c r="T6" s="136"/>
      <c r="U6" s="136"/>
    </row>
    <row r="7" spans="1:21" s="23" customFormat="1" x14ac:dyDescent="0.55000000000000004">
      <c r="A7" s="136"/>
      <c r="B7" s="136"/>
      <c r="C7" s="229"/>
      <c r="D7" s="229"/>
      <c r="E7" s="229"/>
      <c r="F7" s="229"/>
      <c r="G7" s="229"/>
      <c r="H7" s="229"/>
      <c r="I7" s="229"/>
      <c r="J7" s="229"/>
      <c r="K7" s="229"/>
      <c r="L7" s="229"/>
      <c r="M7" s="229"/>
      <c r="N7" s="229"/>
      <c r="O7" s="229"/>
      <c r="P7" s="229"/>
      <c r="Q7" s="229"/>
      <c r="R7" s="136"/>
      <c r="S7" s="136"/>
      <c r="T7" s="136"/>
      <c r="U7" s="136"/>
    </row>
    <row r="8" spans="1:21" s="23" customFormat="1" x14ac:dyDescent="0.55000000000000004">
      <c r="A8" s="136"/>
      <c r="B8" s="136"/>
      <c r="C8" s="229"/>
      <c r="D8" s="231"/>
      <c r="E8" s="240"/>
      <c r="F8" s="571"/>
      <c r="G8" s="229"/>
      <c r="H8" s="229"/>
      <c r="I8" s="232"/>
      <c r="J8" s="572"/>
      <c r="K8" s="229"/>
      <c r="L8" s="233"/>
      <c r="M8" s="234"/>
      <c r="N8" s="235"/>
      <c r="O8" s="229"/>
      <c r="P8" s="229"/>
      <c r="Q8" s="229"/>
      <c r="R8" s="136"/>
      <c r="S8" s="136"/>
      <c r="T8" s="136"/>
      <c r="U8" s="136"/>
    </row>
    <row r="9" spans="1:21" s="23" customFormat="1" ht="15.6" x14ac:dyDescent="0.6">
      <c r="A9" s="136"/>
      <c r="B9" s="136"/>
      <c r="C9" s="573" t="s">
        <v>136</v>
      </c>
      <c r="D9" s="231"/>
      <c r="E9" s="240"/>
      <c r="F9" s="571"/>
      <c r="G9" s="236" t="s">
        <v>137</v>
      </c>
      <c r="H9" s="136"/>
      <c r="I9" s="232"/>
      <c r="J9" s="572"/>
      <c r="K9" s="229"/>
      <c r="L9" s="236" t="s">
        <v>140</v>
      </c>
      <c r="M9" s="234"/>
      <c r="N9" s="235"/>
      <c r="O9" s="229"/>
      <c r="P9" s="236" t="s">
        <v>152</v>
      </c>
      <c r="Q9" s="136"/>
      <c r="R9" s="136"/>
      <c r="S9" s="136"/>
      <c r="T9" s="136"/>
      <c r="U9" s="136"/>
    </row>
    <row r="10" spans="1:21" s="23" customFormat="1" ht="18.3" x14ac:dyDescent="0.7">
      <c r="A10" s="136"/>
      <c r="B10" s="136"/>
      <c r="C10" s="229"/>
      <c r="D10" s="237" t="str">
        <f>Inventory!G3</f>
        <v>Select</v>
      </c>
      <c r="E10" s="237"/>
      <c r="F10" s="229"/>
      <c r="G10" s="229"/>
      <c r="H10" s="229"/>
      <c r="I10" s="574" t="str">
        <f>Inventory!K3</f>
        <v xml:space="preserve">Upgrading </v>
      </c>
      <c r="J10" s="574"/>
      <c r="K10" s="229"/>
      <c r="L10" s="229"/>
      <c r="M10" s="234"/>
      <c r="N10" s="239" t="str">
        <f>Inventory!O3</f>
        <v>Refinery</v>
      </c>
      <c r="O10" s="229"/>
      <c r="P10" s="229"/>
      <c r="Q10" s="229"/>
      <c r="R10" s="136"/>
      <c r="S10" s="136"/>
      <c r="T10" s="136"/>
      <c r="U10" s="136"/>
    </row>
    <row r="11" spans="1:21" s="23" customFormat="1" x14ac:dyDescent="0.55000000000000004">
      <c r="A11" s="136"/>
      <c r="B11" s="136"/>
      <c r="C11" s="229"/>
      <c r="D11" s="231"/>
      <c r="E11" s="240"/>
      <c r="F11" s="571"/>
      <c r="G11" s="229"/>
      <c r="H11" s="229"/>
      <c r="I11" s="232"/>
      <c r="J11" s="572"/>
      <c r="K11" s="229"/>
      <c r="L11" s="233"/>
      <c r="M11" s="234"/>
      <c r="N11" s="235"/>
      <c r="O11" s="229"/>
      <c r="P11" s="229"/>
      <c r="Q11" s="229"/>
      <c r="R11" s="136"/>
      <c r="S11" s="136"/>
      <c r="T11" s="136"/>
      <c r="U11" s="136"/>
    </row>
    <row r="12" spans="1:21" s="23" customFormat="1" x14ac:dyDescent="0.55000000000000004">
      <c r="A12" s="136"/>
      <c r="B12" s="136"/>
      <c r="C12" s="229"/>
      <c r="D12" s="240"/>
      <c r="E12" s="240"/>
      <c r="F12" s="229"/>
      <c r="G12" s="229"/>
      <c r="H12" s="229"/>
      <c r="I12" s="241"/>
      <c r="J12" s="572"/>
      <c r="K12" s="229"/>
      <c r="L12" s="234"/>
      <c r="M12" s="234"/>
      <c r="N12" s="235"/>
      <c r="O12" s="229"/>
      <c r="P12" s="229"/>
      <c r="Q12" s="136"/>
      <c r="R12" s="136"/>
      <c r="S12" s="136"/>
      <c r="T12" s="136"/>
      <c r="U12" s="136"/>
    </row>
    <row r="13" spans="1:21" s="23" customFormat="1" x14ac:dyDescent="0.55000000000000004">
      <c r="A13" s="136"/>
      <c r="B13" s="136"/>
      <c r="C13" s="229"/>
      <c r="D13" s="229"/>
      <c r="E13" s="229"/>
      <c r="F13" s="229"/>
      <c r="G13" s="229"/>
      <c r="H13" s="229"/>
      <c r="I13" s="229"/>
      <c r="J13" s="229"/>
      <c r="K13" s="229"/>
      <c r="L13" s="229"/>
      <c r="M13" s="229"/>
      <c r="N13" s="229"/>
      <c r="O13" s="229"/>
      <c r="P13" s="229"/>
      <c r="Q13" s="229"/>
      <c r="R13" s="136"/>
      <c r="S13" s="136"/>
      <c r="T13" s="136"/>
      <c r="U13" s="136"/>
    </row>
    <row r="14" spans="1:21" s="23" customFormat="1" x14ac:dyDescent="0.55000000000000004">
      <c r="A14" s="136"/>
      <c r="B14" s="136"/>
      <c r="C14" s="229"/>
      <c r="D14" s="229"/>
      <c r="E14" s="229"/>
      <c r="F14" s="229"/>
      <c r="G14" s="229"/>
      <c r="H14" s="229"/>
      <c r="I14" s="229"/>
      <c r="J14" s="229"/>
      <c r="K14" s="229"/>
      <c r="L14" s="229"/>
      <c r="M14" s="229"/>
      <c r="N14" s="229"/>
      <c r="O14" s="229"/>
      <c r="P14" s="229"/>
      <c r="Q14" s="229"/>
      <c r="R14" s="136"/>
      <c r="S14" s="136"/>
      <c r="T14" s="136"/>
      <c r="U14" s="136"/>
    </row>
    <row r="15" spans="1:21" s="23" customFormat="1" ht="15.6" x14ac:dyDescent="0.6">
      <c r="A15" s="136"/>
      <c r="B15" s="136"/>
      <c r="C15" s="573" t="s">
        <v>139</v>
      </c>
      <c r="D15" s="136"/>
      <c r="E15" s="229"/>
      <c r="F15" s="229"/>
      <c r="G15" s="229"/>
      <c r="H15" s="229"/>
      <c r="I15" s="229"/>
      <c r="J15" s="229"/>
      <c r="K15" s="229"/>
      <c r="L15" s="229"/>
      <c r="M15" s="229"/>
      <c r="N15" s="229"/>
      <c r="O15" s="229"/>
      <c r="P15" s="229"/>
      <c r="Q15" s="229"/>
      <c r="R15" s="136"/>
      <c r="S15" s="136"/>
      <c r="T15" s="136"/>
      <c r="U15" s="136"/>
    </row>
    <row r="16" spans="1:21" s="23" customFormat="1" x14ac:dyDescent="0.55000000000000004">
      <c r="A16" s="136"/>
      <c r="B16" s="136"/>
      <c r="C16" s="229"/>
      <c r="D16" s="229"/>
      <c r="E16" s="229"/>
      <c r="F16" s="382" t="s">
        <v>353</v>
      </c>
      <c r="G16" s="229"/>
      <c r="H16" s="229"/>
      <c r="I16" s="229"/>
      <c r="J16" s="229"/>
      <c r="K16" s="229"/>
      <c r="L16" s="229"/>
      <c r="M16" s="229"/>
      <c r="N16" s="229"/>
      <c r="O16" s="229"/>
      <c r="P16" s="229"/>
      <c r="Q16" s="229"/>
      <c r="R16" s="136"/>
      <c r="S16" s="136"/>
      <c r="T16" s="136"/>
      <c r="U16" s="136"/>
    </row>
    <row r="17" spans="1:21" s="23" customFormat="1" ht="15.6" x14ac:dyDescent="0.6">
      <c r="A17" s="136"/>
      <c r="B17" s="136"/>
      <c r="C17" s="229"/>
      <c r="D17" s="229"/>
      <c r="E17" s="229"/>
      <c r="F17" s="229"/>
      <c r="G17" s="229"/>
      <c r="H17" s="229"/>
      <c r="I17" s="230" t="s">
        <v>378</v>
      </c>
      <c r="J17" s="229"/>
      <c r="K17" s="229"/>
      <c r="L17" s="229"/>
      <c r="M17" s="229"/>
      <c r="N17" s="229"/>
      <c r="O17" s="229"/>
      <c r="P17" s="229"/>
      <c r="Q17" s="229"/>
      <c r="R17" s="136"/>
      <c r="S17" s="136"/>
      <c r="T17" s="136"/>
      <c r="U17" s="136"/>
    </row>
    <row r="18" spans="1:21" s="23" customFormat="1" x14ac:dyDescent="0.55000000000000004">
      <c r="A18" s="136"/>
      <c r="B18" s="136"/>
      <c r="C18" s="229"/>
      <c r="D18" s="229"/>
      <c r="E18" s="229"/>
      <c r="F18" s="136"/>
      <c r="G18" s="229"/>
      <c r="H18" s="229"/>
      <c r="I18" s="229"/>
      <c r="J18" s="229"/>
      <c r="K18" s="229"/>
      <c r="L18" s="229"/>
      <c r="M18" s="229"/>
      <c r="N18" s="229"/>
      <c r="O18" s="229"/>
      <c r="P18" s="229"/>
      <c r="Q18" s="229"/>
      <c r="R18" s="136"/>
      <c r="S18" s="136"/>
      <c r="T18" s="136"/>
      <c r="U18" s="136"/>
    </row>
    <row r="19" spans="1:21" s="23" customFormat="1" x14ac:dyDescent="0.55000000000000004">
      <c r="A19" s="136"/>
      <c r="B19" s="136"/>
      <c r="C19" s="229"/>
      <c r="D19" s="229"/>
      <c r="E19" s="229"/>
      <c r="F19" s="229"/>
      <c r="G19" s="229"/>
      <c r="H19" s="229"/>
      <c r="I19" s="229"/>
      <c r="J19" s="229"/>
      <c r="K19" s="229"/>
      <c r="L19" s="229"/>
      <c r="M19" s="229"/>
      <c r="N19" s="229"/>
      <c r="O19" s="229"/>
      <c r="P19" s="229"/>
      <c r="Q19" s="229"/>
      <c r="R19" s="136"/>
      <c r="S19" s="136"/>
      <c r="T19" s="136"/>
      <c r="U19" s="136"/>
    </row>
    <row r="20" spans="1:21" s="23" customFormat="1" x14ac:dyDescent="0.55000000000000004">
      <c r="A20" s="136"/>
      <c r="B20" s="136"/>
      <c r="C20" s="229"/>
      <c r="D20" s="229"/>
      <c r="E20" s="229"/>
      <c r="F20" s="229"/>
      <c r="G20" s="229"/>
      <c r="H20" s="229"/>
      <c r="I20" s="229"/>
      <c r="J20" s="229"/>
      <c r="K20" s="229"/>
      <c r="L20" s="229"/>
      <c r="M20" s="229"/>
      <c r="N20" s="229"/>
      <c r="O20" s="229"/>
      <c r="P20" s="229"/>
      <c r="Q20" s="229"/>
      <c r="R20" s="136"/>
      <c r="S20" s="136"/>
      <c r="T20" s="136"/>
      <c r="U20" s="136"/>
    </row>
    <row r="21" spans="1:21" s="23" customFormat="1" x14ac:dyDescent="0.55000000000000004">
      <c r="A21" s="136"/>
      <c r="B21" s="136"/>
      <c r="C21" s="229"/>
      <c r="D21" s="229"/>
      <c r="E21" s="229"/>
      <c r="F21" s="229"/>
      <c r="G21" s="229"/>
      <c r="H21" s="229"/>
      <c r="I21" s="229"/>
      <c r="J21" s="229"/>
      <c r="K21" s="229"/>
      <c r="L21" s="229"/>
      <c r="M21" s="229"/>
      <c r="N21" s="229"/>
      <c r="O21" s="229"/>
      <c r="P21" s="229"/>
      <c r="Q21" s="229"/>
      <c r="R21" s="136"/>
      <c r="S21" s="136"/>
      <c r="T21" s="136"/>
      <c r="U21" s="136"/>
    </row>
    <row r="22" spans="1:21" ht="14.7" thickBot="1" x14ac:dyDescent="0.6"/>
    <row r="23" spans="1:21" ht="18.45" customHeight="1" x14ac:dyDescent="0.7">
      <c r="B23" s="575" t="s">
        <v>49</v>
      </c>
      <c r="C23" s="576"/>
      <c r="D23" s="576"/>
      <c r="E23" s="576"/>
      <c r="F23" s="576"/>
      <c r="G23" s="576"/>
      <c r="H23" s="577"/>
      <c r="M23" s="578" t="s">
        <v>169</v>
      </c>
      <c r="N23" s="579"/>
      <c r="Q23" s="248" t="s">
        <v>169</v>
      </c>
      <c r="R23" s="249"/>
      <c r="S23" s="250"/>
    </row>
    <row r="24" spans="1:21" s="20" customFormat="1" x14ac:dyDescent="0.55000000000000004">
      <c r="A24" s="136"/>
      <c r="B24" s="311" t="s">
        <v>129</v>
      </c>
      <c r="C24" s="580">
        <f>GCT!C190</f>
        <v>0</v>
      </c>
      <c r="D24" s="581"/>
      <c r="E24" s="155"/>
      <c r="F24" s="582"/>
      <c r="G24" s="582"/>
      <c r="H24" s="583"/>
      <c r="I24" s="136"/>
      <c r="J24" s="136"/>
      <c r="K24" s="136"/>
      <c r="L24" s="136"/>
      <c r="M24" s="254" t="s">
        <v>174</v>
      </c>
      <c r="N24" s="256" t="s">
        <v>175</v>
      </c>
      <c r="O24" s="136"/>
      <c r="P24" s="136"/>
      <c r="Q24" s="254"/>
      <c r="R24" s="255" t="s">
        <v>179</v>
      </c>
      <c r="S24" s="256" t="s">
        <v>180</v>
      </c>
      <c r="T24" s="136"/>
      <c r="U24" s="136"/>
    </row>
    <row r="25" spans="1:21" s="20" customFormat="1" x14ac:dyDescent="0.55000000000000004">
      <c r="A25" s="136"/>
      <c r="B25" s="311"/>
      <c r="C25" s="584" t="s">
        <v>123</v>
      </c>
      <c r="D25" s="141" t="s">
        <v>54</v>
      </c>
      <c r="E25" s="141" t="s">
        <v>126</v>
      </c>
      <c r="F25" s="141" t="s">
        <v>206</v>
      </c>
      <c r="G25" s="141" t="s">
        <v>223</v>
      </c>
      <c r="H25" s="585" t="s">
        <v>127</v>
      </c>
      <c r="I25" s="136"/>
      <c r="J25" s="136"/>
      <c r="K25" s="136"/>
      <c r="L25" s="136"/>
      <c r="M25" s="254">
        <v>0</v>
      </c>
      <c r="N25" s="586">
        <v>2.6760000000000002</v>
      </c>
      <c r="O25" s="136"/>
      <c r="P25" s="136"/>
      <c r="Q25" s="258" t="s">
        <v>176</v>
      </c>
      <c r="R25" s="259">
        <v>19.98</v>
      </c>
      <c r="S25" s="260">
        <v>18.670000000000002</v>
      </c>
      <c r="T25" s="136"/>
      <c r="U25" s="136"/>
    </row>
    <row r="26" spans="1:21" x14ac:dyDescent="0.55000000000000004">
      <c r="B26" s="311" t="s">
        <v>124</v>
      </c>
      <c r="C26" s="107"/>
      <c r="D26" s="108"/>
      <c r="E26" s="107"/>
      <c r="F26" s="107"/>
      <c r="G26" s="107"/>
      <c r="H26" s="109"/>
      <c r="M26" s="254">
        <v>1</v>
      </c>
      <c r="N26" s="586">
        <v>2.7069999999999999</v>
      </c>
      <c r="Q26" s="254" t="s">
        <v>162</v>
      </c>
      <c r="R26" s="264">
        <v>18.899999999999999</v>
      </c>
      <c r="S26" s="265">
        <v>17.489999999999998</v>
      </c>
    </row>
    <row r="27" spans="1:21" x14ac:dyDescent="0.55000000000000004">
      <c r="B27" s="311" t="s">
        <v>125</v>
      </c>
      <c r="C27" s="107"/>
      <c r="D27" s="108"/>
      <c r="E27" s="107"/>
      <c r="F27" s="107"/>
      <c r="G27" s="107"/>
      <c r="H27" s="109"/>
      <c r="M27" s="254">
        <v>2</v>
      </c>
      <c r="N27" s="586">
        <v>2.7250000000000001</v>
      </c>
      <c r="Q27" s="254" t="s">
        <v>177</v>
      </c>
      <c r="R27" s="264">
        <v>20.46</v>
      </c>
      <c r="S27" s="265">
        <v>18.690000000000001</v>
      </c>
    </row>
    <row r="28" spans="1:21" x14ac:dyDescent="0.55000000000000004">
      <c r="B28" s="311" t="s">
        <v>173</v>
      </c>
      <c r="C28" s="587"/>
      <c r="E28" s="266">
        <f>Inventory!H40*3.6</f>
        <v>0</v>
      </c>
      <c r="F28" s="266">
        <f>Inventory!L40*3.6</f>
        <v>0</v>
      </c>
      <c r="G28" s="266">
        <f>Inventory!L40*3.6</f>
        <v>0</v>
      </c>
      <c r="H28" s="588"/>
      <c r="M28" s="254">
        <v>3</v>
      </c>
      <c r="N28" s="586">
        <v>2.738</v>
      </c>
      <c r="Q28" s="254" t="s">
        <v>178</v>
      </c>
      <c r="R28" s="264">
        <v>20.329999999999998</v>
      </c>
      <c r="S28" s="265">
        <v>19.02</v>
      </c>
    </row>
    <row r="29" spans="1:21" s="20" customFormat="1" x14ac:dyDescent="0.55000000000000004">
      <c r="A29" s="136"/>
      <c r="B29" s="311" t="s">
        <v>175</v>
      </c>
      <c r="C29" s="589"/>
      <c r="D29" s="136"/>
      <c r="E29" s="107"/>
      <c r="F29" s="107"/>
      <c r="G29" s="107"/>
      <c r="H29" s="590"/>
      <c r="I29" s="136"/>
      <c r="J29" s="136"/>
      <c r="K29" s="136"/>
      <c r="L29" s="136"/>
      <c r="M29" s="254">
        <v>4</v>
      </c>
      <c r="N29" s="586">
        <v>2.7490000000000001</v>
      </c>
      <c r="O29" s="136"/>
      <c r="P29" s="136"/>
      <c r="Q29" s="268" t="s">
        <v>444</v>
      </c>
      <c r="R29" s="264">
        <v>17.489999999999998</v>
      </c>
      <c r="S29" s="265">
        <v>19.399999999999999</v>
      </c>
      <c r="T29" s="136"/>
      <c r="U29" s="136"/>
    </row>
    <row r="30" spans="1:21" s="20" customFormat="1" ht="14.7" thickBot="1" x14ac:dyDescent="0.6">
      <c r="A30" s="136"/>
      <c r="B30" s="591" t="s">
        <v>417</v>
      </c>
      <c r="C30" s="592"/>
      <c r="D30" s="462"/>
      <c r="E30" s="593">
        <f>Inventory!H39*E29</f>
        <v>0</v>
      </c>
      <c r="F30" s="593">
        <f>Inventory!L39*'Energy efficiency'!F29</f>
        <v>0</v>
      </c>
      <c r="G30" s="593">
        <f>Inventory!L39*G29</f>
        <v>0</v>
      </c>
      <c r="H30" s="594"/>
      <c r="I30" s="136"/>
      <c r="J30" s="136"/>
      <c r="K30" s="136"/>
      <c r="L30" s="136"/>
      <c r="M30" s="254">
        <v>5</v>
      </c>
      <c r="N30" s="586">
        <v>2.7570000000000001</v>
      </c>
      <c r="O30" s="136"/>
      <c r="P30" s="136"/>
      <c r="Q30" s="254" t="s">
        <v>448</v>
      </c>
      <c r="R30" s="269">
        <v>24.37</v>
      </c>
      <c r="S30" s="270">
        <v>22.6</v>
      </c>
      <c r="T30" s="136"/>
      <c r="U30" s="136"/>
    </row>
    <row r="31" spans="1:21" x14ac:dyDescent="0.55000000000000004">
      <c r="M31" s="254">
        <v>6</v>
      </c>
      <c r="N31" s="586">
        <v>2.7629999999999999</v>
      </c>
      <c r="Q31" s="254" t="s">
        <v>447</v>
      </c>
      <c r="R31" s="264">
        <v>45.17</v>
      </c>
      <c r="S31" s="265">
        <v>42.61</v>
      </c>
    </row>
    <row r="32" spans="1:21" ht="14.7" thickBot="1" x14ac:dyDescent="0.6">
      <c r="M32" s="595">
        <v>7</v>
      </c>
      <c r="N32" s="596">
        <v>2.7690000000000001</v>
      </c>
      <c r="Q32" s="254" t="s">
        <v>445</v>
      </c>
      <c r="R32" s="264">
        <v>22.83</v>
      </c>
      <c r="S32" s="265">
        <v>21.07</v>
      </c>
    </row>
    <row r="33" spans="1:21" x14ac:dyDescent="0.55000000000000004">
      <c r="Q33" s="254" t="s">
        <v>449</v>
      </c>
      <c r="R33" s="269">
        <v>23.33</v>
      </c>
      <c r="S33" s="270">
        <v>21.4</v>
      </c>
    </row>
    <row r="34" spans="1:21" x14ac:dyDescent="0.55000000000000004">
      <c r="Q34" s="254" t="s">
        <v>446</v>
      </c>
      <c r="R34" s="264">
        <v>45.14</v>
      </c>
      <c r="S34" s="265">
        <v>42.59</v>
      </c>
    </row>
    <row r="35" spans="1:21" ht="14.7" thickBot="1" x14ac:dyDescent="0.6">
      <c r="Q35" s="254" t="s">
        <v>451</v>
      </c>
      <c r="R35" s="264">
        <v>32.36</v>
      </c>
      <c r="S35" s="265">
        <v>30.66</v>
      </c>
    </row>
    <row r="36" spans="1:21" ht="18.3" x14ac:dyDescent="0.7">
      <c r="B36" s="597" t="s">
        <v>183</v>
      </c>
      <c r="C36" s="598"/>
      <c r="D36" s="598"/>
      <c r="E36" s="598"/>
      <c r="F36" s="598"/>
      <c r="G36" s="599"/>
      <c r="Q36" s="254" t="s">
        <v>450</v>
      </c>
      <c r="R36" s="264">
        <v>47.31</v>
      </c>
      <c r="S36" s="265">
        <v>44.34</v>
      </c>
    </row>
    <row r="37" spans="1:21" x14ac:dyDescent="0.55000000000000004">
      <c r="B37" s="600"/>
      <c r="C37" s="274"/>
      <c r="D37" s="252" t="s">
        <v>120</v>
      </c>
      <c r="E37" s="252" t="s">
        <v>206</v>
      </c>
      <c r="F37" s="252" t="s">
        <v>210</v>
      </c>
      <c r="G37" s="253" t="s">
        <v>454</v>
      </c>
      <c r="Q37" s="254" t="s">
        <v>452</v>
      </c>
      <c r="R37" s="264">
        <v>38.326624191120658</v>
      </c>
      <c r="S37" s="265">
        <v>36.069086771633948</v>
      </c>
    </row>
    <row r="38" spans="1:21" x14ac:dyDescent="0.55000000000000004">
      <c r="B38" s="601" t="s">
        <v>186</v>
      </c>
      <c r="C38" s="602"/>
      <c r="D38" s="602"/>
      <c r="E38" s="602"/>
      <c r="F38" s="602"/>
      <c r="G38" s="603"/>
      <c r="Q38" s="278" t="s">
        <v>453</v>
      </c>
      <c r="R38" s="264">
        <v>47.09152411316262</v>
      </c>
      <c r="S38" s="265">
        <v>44.388645778721511</v>
      </c>
    </row>
    <row r="39" spans="1:21" x14ac:dyDescent="0.55000000000000004">
      <c r="B39" s="489"/>
      <c r="C39" s="604" t="s">
        <v>184</v>
      </c>
      <c r="D39" s="605" t="str">
        <f>IF(C26*Inventory!$G$6,(E26*Inventory!$H$19)/(C26*Inventory!$G$6),"0")</f>
        <v>0</v>
      </c>
      <c r="E39" s="605" t="str">
        <f>IF((C26*Inventory!$G$6*Inventory!G4)+(D26*Inventory!K11),(F26*Inventory!$L$20)/((C26*Inventory!$G$6*Inventory!G4)+(D26*Inventory!K11)),"0")</f>
        <v>0</v>
      </c>
      <c r="F39" s="605" t="str">
        <f>IF((C26*Inventory!$G$6*Inventory!G4)+(D26*Inventory!K11),(G26*Inventory!$L$21)/((C26*Inventory!$G$6*Inventory!G4)+(D26*Inventory!K11)),"0")</f>
        <v>0</v>
      </c>
      <c r="G39" s="606" t="str">
        <f>IF(C26*Inventory!$G$6*Inventory!G4,(H26*Inventory!$P$23*$C$24)/(C26*Inventory!$G$6*Inventory!G4),"0")</f>
        <v>0</v>
      </c>
      <c r="Q39" s="254" t="s">
        <v>166</v>
      </c>
      <c r="R39" s="264">
        <v>46.97</v>
      </c>
      <c r="S39" s="265">
        <v>42.82</v>
      </c>
    </row>
    <row r="40" spans="1:21" x14ac:dyDescent="0.55000000000000004">
      <c r="B40" s="271"/>
      <c r="C40" s="604" t="s">
        <v>185</v>
      </c>
      <c r="D40" s="605" t="str">
        <f>IF(C27*Inventory!$G$6,(E27*Inventory!$H$19)/(C27*Inventory!$G$6),"0")</f>
        <v>0</v>
      </c>
      <c r="E40" s="605" t="str">
        <f>IF((C27*Inventory!$G$6*Inventory!G4)+(D26*Inventory!K11),(F27*Inventory!$L$20)/((C27*Inventory!$G$6*Inventory!G4)+(D26*Inventory!K11)),"0")</f>
        <v>0</v>
      </c>
      <c r="F40" s="605" t="str">
        <f>IF((C27*Inventory!$G$6*Inventory!G4)+(D26*Inventory!K11),(G27*Inventory!$L$21)/((C27*Inventory!$G$6*Inventory!G4)+(D26*Inventory!K11)),"0")</f>
        <v>0</v>
      </c>
      <c r="G40" s="606" t="str">
        <f>IF((C27*Inventory!$G$6*Inventory!G4),(H27*Inventory!$P$23*$C$24)/(C27*Inventory!$G$6*Inventory!G4),"0")</f>
        <v>0</v>
      </c>
      <c r="Q40" s="258" t="s">
        <v>160</v>
      </c>
      <c r="R40" s="259">
        <v>46.37</v>
      </c>
      <c r="S40" s="260">
        <v>44.15</v>
      </c>
    </row>
    <row r="41" spans="1:21" ht="14.7" thickBot="1" x14ac:dyDescent="0.6">
      <c r="B41" s="607" t="s">
        <v>187</v>
      </c>
      <c r="C41" s="608"/>
      <c r="D41" s="608"/>
      <c r="E41" s="608"/>
      <c r="F41" s="608"/>
      <c r="G41" s="609"/>
      <c r="Q41" s="281" t="s">
        <v>54</v>
      </c>
      <c r="R41" s="610">
        <v>120</v>
      </c>
      <c r="S41" s="611">
        <v>141.87</v>
      </c>
    </row>
    <row r="42" spans="1:21" x14ac:dyDescent="0.55000000000000004">
      <c r="B42" s="508" t="s">
        <v>48</v>
      </c>
      <c r="C42" s="612"/>
      <c r="D42" s="613"/>
      <c r="E42" s="613"/>
      <c r="F42" s="613"/>
      <c r="G42" s="614"/>
    </row>
    <row r="43" spans="1:21" s="51" customFormat="1" x14ac:dyDescent="0.55000000000000004">
      <c r="A43" s="136"/>
      <c r="B43" s="615"/>
      <c r="C43" s="604" t="s">
        <v>379</v>
      </c>
      <c r="D43" s="616" t="str">
        <f>IF(($C$26*Inventory!$G$6),E28/($C$26*Inventory!$G$6)/1000,"0")</f>
        <v>0</v>
      </c>
      <c r="E43" s="617" t="str">
        <f>IF(($C$26*Inventory!$G$6*Inventory!G4),F28/($C$26*Inventory!$G$6*Inventory!G4)/1000,"0")</f>
        <v>0</v>
      </c>
      <c r="F43" s="617" t="str">
        <f>IF(($C$26*Inventory!$G$6*Inventory!G4),G28/($C$26*Inventory!$G$6*Inventory!G4)/1000,"0")</f>
        <v>0</v>
      </c>
      <c r="G43" s="618"/>
      <c r="H43" s="136"/>
      <c r="I43" s="136"/>
      <c r="J43" s="136"/>
      <c r="K43" s="136"/>
      <c r="L43" s="136"/>
      <c r="M43" s="136"/>
      <c r="N43" s="136"/>
      <c r="O43" s="136"/>
      <c r="P43" s="136"/>
      <c r="Q43" s="136"/>
      <c r="R43" s="136"/>
      <c r="S43" s="136"/>
      <c r="T43" s="136"/>
      <c r="U43" s="136"/>
    </row>
    <row r="44" spans="1:21" s="51" customFormat="1" x14ac:dyDescent="0.55000000000000004">
      <c r="A44" s="136"/>
      <c r="B44" s="619"/>
      <c r="C44" s="604" t="s">
        <v>380</v>
      </c>
      <c r="D44" s="620" t="str">
        <f>IF(($C$27*Inventory!$G$6),E28/($C$27*Inventory!$G$6)/1000,"0")</f>
        <v>0</v>
      </c>
      <c r="E44" s="620" t="str">
        <f>IF(($C$27*Inventory!$G$6*Inventory!G4),F28/($C$27*Inventory!$G$6*Inventory!G4)/1000,"0")</f>
        <v>0</v>
      </c>
      <c r="F44" s="620" t="str">
        <f>IF(($C$27*Inventory!$G$6*Inventory!G4),G28/($C$27*Inventory!$G$6*Inventory!G4)/1000,"0")</f>
        <v>0</v>
      </c>
      <c r="G44" s="621"/>
      <c r="H44" s="136"/>
      <c r="I44" s="136"/>
      <c r="J44" s="136"/>
      <c r="K44" s="136"/>
      <c r="L44" s="136"/>
      <c r="M44" s="136"/>
      <c r="N44" s="136"/>
      <c r="O44" s="136"/>
      <c r="P44" s="136"/>
      <c r="Q44" s="136"/>
      <c r="R44" s="136"/>
      <c r="S44" s="136"/>
      <c r="T44" s="136"/>
      <c r="U44" s="136"/>
    </row>
    <row r="45" spans="1:21" x14ac:dyDescent="0.55000000000000004">
      <c r="B45" s="508" t="s">
        <v>47</v>
      </c>
      <c r="C45" s="137"/>
      <c r="D45" s="622"/>
      <c r="E45" s="622"/>
      <c r="F45" s="622"/>
      <c r="G45" s="623"/>
    </row>
    <row r="46" spans="1:21" s="51" customFormat="1" x14ac:dyDescent="0.55000000000000004">
      <c r="A46" s="136"/>
      <c r="B46" s="615"/>
      <c r="C46" s="604" t="s">
        <v>379</v>
      </c>
      <c r="D46" s="605" t="str">
        <f>IF(($C$26*Inventory!$G$6),E30/($C$26*Inventory!$G$6),"0")</f>
        <v>0</v>
      </c>
      <c r="E46" s="605" t="str">
        <f>IF(($C$26*Inventory!$G$6*Inventory!G4),F30/($C$26*Inventory!$G$6*Inventory!G4),"0")</f>
        <v>0</v>
      </c>
      <c r="F46" s="605" t="str">
        <f>IF(($C$26*Inventory!$G$6*Inventory!G4),G30/($C$26*Inventory!$G$6*Inventory!G4),"0")</f>
        <v>0</v>
      </c>
      <c r="G46" s="624"/>
      <c r="H46" s="136"/>
      <c r="I46" s="136"/>
      <c r="J46" s="136"/>
      <c r="K46" s="136"/>
      <c r="L46" s="136"/>
      <c r="M46" s="136"/>
      <c r="N46" s="136"/>
      <c r="O46" s="136"/>
      <c r="P46" s="136"/>
      <c r="Q46" s="136"/>
      <c r="R46" s="136"/>
      <c r="S46" s="136"/>
      <c r="T46" s="136"/>
      <c r="U46" s="136"/>
    </row>
    <row r="47" spans="1:21" s="51" customFormat="1" x14ac:dyDescent="0.55000000000000004">
      <c r="A47" s="136"/>
      <c r="B47" s="619"/>
      <c r="C47" s="604" t="s">
        <v>380</v>
      </c>
      <c r="D47" s="605" t="str">
        <f>IF(($C$27*Inventory!$G$6),E30/($C$27*Inventory!$G$6),"0")</f>
        <v>0</v>
      </c>
      <c r="E47" s="605" t="str">
        <f>IF(($C$27*Inventory!$G$6*Inventory!G4),F30/($C$27*Inventory!$G$6*Inventory!G4),"0")</f>
        <v>0</v>
      </c>
      <c r="F47" s="605" t="str">
        <f>IF(($C$27*Inventory!$G$6*Inventory!G4),G30/($C$27*Inventory!$G$6*Inventory!G4),"0")</f>
        <v>0</v>
      </c>
      <c r="G47" s="624"/>
      <c r="H47" s="136"/>
      <c r="I47" s="136"/>
      <c r="J47" s="136"/>
      <c r="K47" s="136"/>
      <c r="L47" s="136"/>
      <c r="M47" s="136"/>
      <c r="N47" s="136"/>
      <c r="O47" s="136"/>
      <c r="P47" s="136"/>
      <c r="Q47" s="136"/>
      <c r="R47" s="136"/>
      <c r="S47" s="136"/>
      <c r="T47" s="136"/>
      <c r="U47" s="136"/>
    </row>
    <row r="48" spans="1:21" s="23" customFormat="1" x14ac:dyDescent="0.55000000000000004">
      <c r="A48" s="136"/>
      <c r="B48" s="135"/>
      <c r="C48" s="137"/>
      <c r="D48" s="137"/>
      <c r="E48" s="137"/>
      <c r="F48" s="137"/>
      <c r="G48" s="148"/>
      <c r="H48" s="136"/>
      <c r="I48" s="136"/>
      <c r="J48" s="136"/>
      <c r="K48" s="136"/>
      <c r="L48" s="136"/>
      <c r="M48" s="136"/>
      <c r="N48" s="136"/>
      <c r="O48" s="136"/>
      <c r="P48" s="136"/>
      <c r="Q48" s="136"/>
      <c r="R48" s="136"/>
      <c r="S48" s="136"/>
      <c r="T48" s="136"/>
      <c r="U48" s="136"/>
    </row>
    <row r="49" spans="1:21" ht="15.6" x14ac:dyDescent="0.6">
      <c r="B49" s="505" t="s">
        <v>181</v>
      </c>
      <c r="C49" s="625"/>
      <c r="D49" s="626">
        <f>D39+D43+D46</f>
        <v>0</v>
      </c>
      <c r="E49" s="626">
        <f>E39+E43+E46</f>
        <v>0</v>
      </c>
      <c r="F49" s="626">
        <f>F39+F43+F46</f>
        <v>0</v>
      </c>
      <c r="G49" s="627">
        <f>G39+G43+G46</f>
        <v>0</v>
      </c>
    </row>
    <row r="50" spans="1:21" ht="15.9" thickBot="1" x14ac:dyDescent="0.65">
      <c r="B50" s="628" t="s">
        <v>182</v>
      </c>
      <c r="C50" s="629"/>
      <c r="D50" s="630">
        <f>D40+D44+D47</f>
        <v>0</v>
      </c>
      <c r="E50" s="630">
        <f t="shared" ref="E50:G50" si="0">E40+E44+E47</f>
        <v>0</v>
      </c>
      <c r="F50" s="630">
        <f t="shared" si="0"/>
        <v>0</v>
      </c>
      <c r="G50" s="631">
        <f t="shared" si="0"/>
        <v>0</v>
      </c>
    </row>
    <row r="51" spans="1:21" s="23" customFormat="1" x14ac:dyDescent="0.55000000000000004">
      <c r="A51" s="136"/>
      <c r="B51" s="136"/>
      <c r="C51" s="136"/>
      <c r="D51" s="136"/>
      <c r="E51" s="136"/>
      <c r="F51" s="136"/>
      <c r="G51" s="136"/>
      <c r="H51" s="136"/>
      <c r="I51" s="136"/>
      <c r="J51" s="136"/>
      <c r="K51" s="136"/>
      <c r="L51" s="136"/>
      <c r="M51" s="136"/>
      <c r="N51" s="136"/>
      <c r="O51" s="136"/>
      <c r="P51" s="136"/>
      <c r="Q51" s="136"/>
      <c r="R51" s="136"/>
      <c r="S51" s="136"/>
      <c r="T51" s="136"/>
      <c r="U51" s="136"/>
    </row>
    <row r="54" spans="1:21" x14ac:dyDescent="0.55000000000000004">
      <c r="I54" s="386"/>
      <c r="J54" s="386"/>
      <c r="K54" s="386"/>
      <c r="L54" s="386"/>
    </row>
  </sheetData>
  <sheetProtection algorithmName="SHA-512" hashValue="kGu4dd5JK7AAmxx+eXEeA1YlghaZ2EEs6iXIQ6IXdNq5IYHyqNGF3pEokgcVF1xS7wpd++pG6fEZ3N2ydZR0dQ==" saltValue="AsqRfNUwlsSW2SIksZ6/Tw==" spinCount="100000" sheet="1" objects="1" scenarios="1" selectLockedCells="1"/>
  <mergeCells count="16">
    <mergeCell ref="I10:J10"/>
    <mergeCell ref="M23:N23"/>
    <mergeCell ref="D10:E10"/>
    <mergeCell ref="C28:C30"/>
    <mergeCell ref="B36:G36"/>
    <mergeCell ref="B23:H23"/>
    <mergeCell ref="C24:D24"/>
    <mergeCell ref="Q23:S23"/>
    <mergeCell ref="B49:C49"/>
    <mergeCell ref="B50:C50"/>
    <mergeCell ref="B43:B44"/>
    <mergeCell ref="C42:G42"/>
    <mergeCell ref="B46:B47"/>
    <mergeCell ref="B41:G41"/>
    <mergeCell ref="B38:G38"/>
    <mergeCell ref="B37:C37"/>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75A63-E944-420C-A5EE-0DAE29080115}">
  <dimension ref="A1:K76"/>
  <sheetViews>
    <sheetView showGridLines="0" tabSelected="1" zoomScale="55" zoomScaleNormal="55" workbookViewId="0">
      <selection activeCell="E33" sqref="E33"/>
    </sheetView>
  </sheetViews>
  <sheetFormatPr defaultColWidth="8.89453125" defaultRowHeight="12.9" x14ac:dyDescent="0.5"/>
  <cols>
    <col min="1" max="1" width="3.89453125" style="632" customWidth="1"/>
    <col min="2" max="2" width="3.89453125" style="632" bestFit="1" customWidth="1"/>
    <col min="3" max="3" width="28" style="632" customWidth="1"/>
    <col min="4" max="4" width="19.9453125" style="632" customWidth="1"/>
    <col min="5" max="5" width="72.20703125" style="632" customWidth="1"/>
    <col min="6" max="6" width="59.83984375" style="632" customWidth="1"/>
    <col min="7" max="7" width="5.05078125" style="632" customWidth="1"/>
    <col min="8" max="8" width="62" style="632" customWidth="1"/>
    <col min="9" max="9" width="11.05078125" style="632" customWidth="1"/>
    <col min="10" max="11" width="8.89453125" style="632"/>
    <col min="12" max="252" width="8.89453125" style="49"/>
    <col min="253" max="253" width="3.89453125" style="49" bestFit="1" customWidth="1"/>
    <col min="254" max="254" width="22.89453125" style="49" customWidth="1"/>
    <col min="255" max="255" width="30.41796875" style="49" customWidth="1"/>
    <col min="256" max="256" width="22.41796875" style="49" customWidth="1"/>
    <col min="257" max="257" width="17.89453125" style="49" bestFit="1" customWidth="1"/>
    <col min="258" max="258" width="28.41796875" style="49" customWidth="1"/>
    <col min="259" max="259" width="26.5234375" style="49" customWidth="1"/>
    <col min="260" max="260" width="18.89453125" style="49" customWidth="1"/>
    <col min="261" max="508" width="8.89453125" style="49"/>
    <col min="509" max="509" width="3.89453125" style="49" bestFit="1" customWidth="1"/>
    <col min="510" max="510" width="22.89453125" style="49" customWidth="1"/>
    <col min="511" max="511" width="30.41796875" style="49" customWidth="1"/>
    <col min="512" max="512" width="22.41796875" style="49" customWidth="1"/>
    <col min="513" max="513" width="17.89453125" style="49" bestFit="1" customWidth="1"/>
    <col min="514" max="514" width="28.41796875" style="49" customWidth="1"/>
    <col min="515" max="515" width="26.5234375" style="49" customWidth="1"/>
    <col min="516" max="516" width="18.89453125" style="49" customWidth="1"/>
    <col min="517" max="764" width="8.89453125" style="49"/>
    <col min="765" max="765" width="3.89453125" style="49" bestFit="1" customWidth="1"/>
    <col min="766" max="766" width="22.89453125" style="49" customWidth="1"/>
    <col min="767" max="767" width="30.41796875" style="49" customWidth="1"/>
    <col min="768" max="768" width="22.41796875" style="49" customWidth="1"/>
    <col min="769" max="769" width="17.89453125" style="49" bestFit="1" customWidth="1"/>
    <col min="770" max="770" width="28.41796875" style="49" customWidth="1"/>
    <col min="771" max="771" width="26.5234375" style="49" customWidth="1"/>
    <col min="772" max="772" width="18.89453125" style="49" customWidth="1"/>
    <col min="773" max="1020" width="8.89453125" style="49"/>
    <col min="1021" max="1021" width="3.89453125" style="49" bestFit="1" customWidth="1"/>
    <col min="1022" max="1022" width="22.89453125" style="49" customWidth="1"/>
    <col min="1023" max="1023" width="30.41796875" style="49" customWidth="1"/>
    <col min="1024" max="1024" width="22.41796875" style="49" customWidth="1"/>
    <col min="1025" max="1025" width="17.89453125" style="49" bestFit="1" customWidth="1"/>
    <col min="1026" max="1026" width="28.41796875" style="49" customWidth="1"/>
    <col min="1027" max="1027" width="26.5234375" style="49" customWidth="1"/>
    <col min="1028" max="1028" width="18.89453125" style="49" customWidth="1"/>
    <col min="1029" max="1276" width="8.89453125" style="49"/>
    <col min="1277" max="1277" width="3.89453125" style="49" bestFit="1" customWidth="1"/>
    <col min="1278" max="1278" width="22.89453125" style="49" customWidth="1"/>
    <col min="1279" max="1279" width="30.41796875" style="49" customWidth="1"/>
    <col min="1280" max="1280" width="22.41796875" style="49" customWidth="1"/>
    <col min="1281" max="1281" width="17.89453125" style="49" bestFit="1" customWidth="1"/>
    <col min="1282" max="1282" width="28.41796875" style="49" customWidth="1"/>
    <col min="1283" max="1283" width="26.5234375" style="49" customWidth="1"/>
    <col min="1284" max="1284" width="18.89453125" style="49" customWidth="1"/>
    <col min="1285" max="1532" width="8.89453125" style="49"/>
    <col min="1533" max="1533" width="3.89453125" style="49" bestFit="1" customWidth="1"/>
    <col min="1534" max="1534" width="22.89453125" style="49" customWidth="1"/>
    <col min="1535" max="1535" width="30.41796875" style="49" customWidth="1"/>
    <col min="1536" max="1536" width="22.41796875" style="49" customWidth="1"/>
    <col min="1537" max="1537" width="17.89453125" style="49" bestFit="1" customWidth="1"/>
    <col min="1538" max="1538" width="28.41796875" style="49" customWidth="1"/>
    <col min="1539" max="1539" width="26.5234375" style="49" customWidth="1"/>
    <col min="1540" max="1540" width="18.89453125" style="49" customWidth="1"/>
    <col min="1541" max="1788" width="8.89453125" style="49"/>
    <col min="1789" max="1789" width="3.89453125" style="49" bestFit="1" customWidth="1"/>
    <col min="1790" max="1790" width="22.89453125" style="49" customWidth="1"/>
    <col min="1791" max="1791" width="30.41796875" style="49" customWidth="1"/>
    <col min="1792" max="1792" width="22.41796875" style="49" customWidth="1"/>
    <col min="1793" max="1793" width="17.89453125" style="49" bestFit="1" customWidth="1"/>
    <col min="1794" max="1794" width="28.41796875" style="49" customWidth="1"/>
    <col min="1795" max="1795" width="26.5234375" style="49" customWidth="1"/>
    <col min="1796" max="1796" width="18.89453125" style="49" customWidth="1"/>
    <col min="1797" max="2044" width="8.89453125" style="49"/>
    <col min="2045" max="2045" width="3.89453125" style="49" bestFit="1" customWidth="1"/>
    <col min="2046" max="2046" width="22.89453125" style="49" customWidth="1"/>
    <col min="2047" max="2047" width="30.41796875" style="49" customWidth="1"/>
    <col min="2048" max="2048" width="22.41796875" style="49" customWidth="1"/>
    <col min="2049" max="2049" width="17.89453125" style="49" bestFit="1" customWidth="1"/>
    <col min="2050" max="2050" width="28.41796875" style="49" customWidth="1"/>
    <col min="2051" max="2051" width="26.5234375" style="49" customWidth="1"/>
    <col min="2052" max="2052" width="18.89453125" style="49" customWidth="1"/>
    <col min="2053" max="2300" width="8.89453125" style="49"/>
    <col min="2301" max="2301" width="3.89453125" style="49" bestFit="1" customWidth="1"/>
    <col min="2302" max="2302" width="22.89453125" style="49" customWidth="1"/>
    <col min="2303" max="2303" width="30.41796875" style="49" customWidth="1"/>
    <col min="2304" max="2304" width="22.41796875" style="49" customWidth="1"/>
    <col min="2305" max="2305" width="17.89453125" style="49" bestFit="1" customWidth="1"/>
    <col min="2306" max="2306" width="28.41796875" style="49" customWidth="1"/>
    <col min="2307" max="2307" width="26.5234375" style="49" customWidth="1"/>
    <col min="2308" max="2308" width="18.89453125" style="49" customWidth="1"/>
    <col min="2309" max="2556" width="8.89453125" style="49"/>
    <col min="2557" max="2557" width="3.89453125" style="49" bestFit="1" customWidth="1"/>
    <col min="2558" max="2558" width="22.89453125" style="49" customWidth="1"/>
    <col min="2559" max="2559" width="30.41796875" style="49" customWidth="1"/>
    <col min="2560" max="2560" width="22.41796875" style="49" customWidth="1"/>
    <col min="2561" max="2561" width="17.89453125" style="49" bestFit="1" customWidth="1"/>
    <col min="2562" max="2562" width="28.41796875" style="49" customWidth="1"/>
    <col min="2563" max="2563" width="26.5234375" style="49" customWidth="1"/>
    <col min="2564" max="2564" width="18.89453125" style="49" customWidth="1"/>
    <col min="2565" max="2812" width="8.89453125" style="49"/>
    <col min="2813" max="2813" width="3.89453125" style="49" bestFit="1" customWidth="1"/>
    <col min="2814" max="2814" width="22.89453125" style="49" customWidth="1"/>
    <col min="2815" max="2815" width="30.41796875" style="49" customWidth="1"/>
    <col min="2816" max="2816" width="22.41796875" style="49" customWidth="1"/>
    <col min="2817" max="2817" width="17.89453125" style="49" bestFit="1" customWidth="1"/>
    <col min="2818" max="2818" width="28.41796875" style="49" customWidth="1"/>
    <col min="2819" max="2819" width="26.5234375" style="49" customWidth="1"/>
    <col min="2820" max="2820" width="18.89453125" style="49" customWidth="1"/>
    <col min="2821" max="3068" width="8.89453125" style="49"/>
    <col min="3069" max="3069" width="3.89453125" style="49" bestFit="1" customWidth="1"/>
    <col min="3070" max="3070" width="22.89453125" style="49" customWidth="1"/>
    <col min="3071" max="3071" width="30.41796875" style="49" customWidth="1"/>
    <col min="3072" max="3072" width="22.41796875" style="49" customWidth="1"/>
    <col min="3073" max="3073" width="17.89453125" style="49" bestFit="1" customWidth="1"/>
    <col min="3074" max="3074" width="28.41796875" style="49" customWidth="1"/>
    <col min="3075" max="3075" width="26.5234375" style="49" customWidth="1"/>
    <col min="3076" max="3076" width="18.89453125" style="49" customWidth="1"/>
    <col min="3077" max="3324" width="8.89453125" style="49"/>
    <col min="3325" max="3325" width="3.89453125" style="49" bestFit="1" customWidth="1"/>
    <col min="3326" max="3326" width="22.89453125" style="49" customWidth="1"/>
    <col min="3327" max="3327" width="30.41796875" style="49" customWidth="1"/>
    <col min="3328" max="3328" width="22.41796875" style="49" customWidth="1"/>
    <col min="3329" max="3329" width="17.89453125" style="49" bestFit="1" customWidth="1"/>
    <col min="3330" max="3330" width="28.41796875" style="49" customWidth="1"/>
    <col min="3331" max="3331" width="26.5234375" style="49" customWidth="1"/>
    <col min="3332" max="3332" width="18.89453125" style="49" customWidth="1"/>
    <col min="3333" max="3580" width="8.89453125" style="49"/>
    <col min="3581" max="3581" width="3.89453125" style="49" bestFit="1" customWidth="1"/>
    <col min="3582" max="3582" width="22.89453125" style="49" customWidth="1"/>
    <col min="3583" max="3583" width="30.41796875" style="49" customWidth="1"/>
    <col min="3584" max="3584" width="22.41796875" style="49" customWidth="1"/>
    <col min="3585" max="3585" width="17.89453125" style="49" bestFit="1" customWidth="1"/>
    <col min="3586" max="3586" width="28.41796875" style="49" customWidth="1"/>
    <col min="3587" max="3587" width="26.5234375" style="49" customWidth="1"/>
    <col min="3588" max="3588" width="18.89453125" style="49" customWidth="1"/>
    <col min="3589" max="3836" width="8.89453125" style="49"/>
    <col min="3837" max="3837" width="3.89453125" style="49" bestFit="1" customWidth="1"/>
    <col min="3838" max="3838" width="22.89453125" style="49" customWidth="1"/>
    <col min="3839" max="3839" width="30.41796875" style="49" customWidth="1"/>
    <col min="3840" max="3840" width="22.41796875" style="49" customWidth="1"/>
    <col min="3841" max="3841" width="17.89453125" style="49" bestFit="1" customWidth="1"/>
    <col min="3842" max="3842" width="28.41796875" style="49" customWidth="1"/>
    <col min="3843" max="3843" width="26.5234375" style="49" customWidth="1"/>
    <col min="3844" max="3844" width="18.89453125" style="49" customWidth="1"/>
    <col min="3845" max="4092" width="8.89453125" style="49"/>
    <col min="4093" max="4093" width="3.89453125" style="49" bestFit="1" customWidth="1"/>
    <col min="4094" max="4094" width="22.89453125" style="49" customWidth="1"/>
    <col min="4095" max="4095" width="30.41796875" style="49" customWidth="1"/>
    <col min="4096" max="4096" width="22.41796875" style="49" customWidth="1"/>
    <col min="4097" max="4097" width="17.89453125" style="49" bestFit="1" customWidth="1"/>
    <col min="4098" max="4098" width="28.41796875" style="49" customWidth="1"/>
    <col min="4099" max="4099" width="26.5234375" style="49" customWidth="1"/>
    <col min="4100" max="4100" width="18.89453125" style="49" customWidth="1"/>
    <col min="4101" max="4348" width="8.89453125" style="49"/>
    <col min="4349" max="4349" width="3.89453125" style="49" bestFit="1" customWidth="1"/>
    <col min="4350" max="4350" width="22.89453125" style="49" customWidth="1"/>
    <col min="4351" max="4351" width="30.41796875" style="49" customWidth="1"/>
    <col min="4352" max="4352" width="22.41796875" style="49" customWidth="1"/>
    <col min="4353" max="4353" width="17.89453125" style="49" bestFit="1" customWidth="1"/>
    <col min="4354" max="4354" width="28.41796875" style="49" customWidth="1"/>
    <col min="4355" max="4355" width="26.5234375" style="49" customWidth="1"/>
    <col min="4356" max="4356" width="18.89453125" style="49" customWidth="1"/>
    <col min="4357" max="4604" width="8.89453125" style="49"/>
    <col min="4605" max="4605" width="3.89453125" style="49" bestFit="1" customWidth="1"/>
    <col min="4606" max="4606" width="22.89453125" style="49" customWidth="1"/>
    <col min="4607" max="4607" width="30.41796875" style="49" customWidth="1"/>
    <col min="4608" max="4608" width="22.41796875" style="49" customWidth="1"/>
    <col min="4609" max="4609" width="17.89453125" style="49" bestFit="1" customWidth="1"/>
    <col min="4610" max="4610" width="28.41796875" style="49" customWidth="1"/>
    <col min="4611" max="4611" width="26.5234375" style="49" customWidth="1"/>
    <col min="4612" max="4612" width="18.89453125" style="49" customWidth="1"/>
    <col min="4613" max="4860" width="8.89453125" style="49"/>
    <col min="4861" max="4861" width="3.89453125" style="49" bestFit="1" customWidth="1"/>
    <col min="4862" max="4862" width="22.89453125" style="49" customWidth="1"/>
    <col min="4863" max="4863" width="30.41796875" style="49" customWidth="1"/>
    <col min="4864" max="4864" width="22.41796875" style="49" customWidth="1"/>
    <col min="4865" max="4865" width="17.89453125" style="49" bestFit="1" customWidth="1"/>
    <col min="4866" max="4866" width="28.41796875" style="49" customWidth="1"/>
    <col min="4867" max="4867" width="26.5234375" style="49" customWidth="1"/>
    <col min="4868" max="4868" width="18.89453125" style="49" customWidth="1"/>
    <col min="4869" max="5116" width="8.89453125" style="49"/>
    <col min="5117" max="5117" width="3.89453125" style="49" bestFit="1" customWidth="1"/>
    <col min="5118" max="5118" width="22.89453125" style="49" customWidth="1"/>
    <col min="5119" max="5119" width="30.41796875" style="49" customWidth="1"/>
    <col min="5120" max="5120" width="22.41796875" style="49" customWidth="1"/>
    <col min="5121" max="5121" width="17.89453125" style="49" bestFit="1" customWidth="1"/>
    <col min="5122" max="5122" width="28.41796875" style="49" customWidth="1"/>
    <col min="5123" max="5123" width="26.5234375" style="49" customWidth="1"/>
    <col min="5124" max="5124" width="18.89453125" style="49" customWidth="1"/>
    <col min="5125" max="5372" width="8.89453125" style="49"/>
    <col min="5373" max="5373" width="3.89453125" style="49" bestFit="1" customWidth="1"/>
    <col min="5374" max="5374" width="22.89453125" style="49" customWidth="1"/>
    <col min="5375" max="5375" width="30.41796875" style="49" customWidth="1"/>
    <col min="5376" max="5376" width="22.41796875" style="49" customWidth="1"/>
    <col min="5377" max="5377" width="17.89453125" style="49" bestFit="1" customWidth="1"/>
    <col min="5378" max="5378" width="28.41796875" style="49" customWidth="1"/>
    <col min="5379" max="5379" width="26.5234375" style="49" customWidth="1"/>
    <col min="5380" max="5380" width="18.89453125" style="49" customWidth="1"/>
    <col min="5381" max="5628" width="8.89453125" style="49"/>
    <col min="5629" max="5629" width="3.89453125" style="49" bestFit="1" customWidth="1"/>
    <col min="5630" max="5630" width="22.89453125" style="49" customWidth="1"/>
    <col min="5631" max="5631" width="30.41796875" style="49" customWidth="1"/>
    <col min="5632" max="5632" width="22.41796875" style="49" customWidth="1"/>
    <col min="5633" max="5633" width="17.89453125" style="49" bestFit="1" customWidth="1"/>
    <col min="5634" max="5634" width="28.41796875" style="49" customWidth="1"/>
    <col min="5635" max="5635" width="26.5234375" style="49" customWidth="1"/>
    <col min="5636" max="5636" width="18.89453125" style="49" customWidth="1"/>
    <col min="5637" max="5884" width="8.89453125" style="49"/>
    <col min="5885" max="5885" width="3.89453125" style="49" bestFit="1" customWidth="1"/>
    <col min="5886" max="5886" width="22.89453125" style="49" customWidth="1"/>
    <col min="5887" max="5887" width="30.41796875" style="49" customWidth="1"/>
    <col min="5888" max="5888" width="22.41796875" style="49" customWidth="1"/>
    <col min="5889" max="5889" width="17.89453125" style="49" bestFit="1" customWidth="1"/>
    <col min="5890" max="5890" width="28.41796875" style="49" customWidth="1"/>
    <col min="5891" max="5891" width="26.5234375" style="49" customWidth="1"/>
    <col min="5892" max="5892" width="18.89453125" style="49" customWidth="1"/>
    <col min="5893" max="6140" width="8.89453125" style="49"/>
    <col min="6141" max="6141" width="3.89453125" style="49" bestFit="1" customWidth="1"/>
    <col min="6142" max="6142" width="22.89453125" style="49" customWidth="1"/>
    <col min="6143" max="6143" width="30.41796875" style="49" customWidth="1"/>
    <col min="6144" max="6144" width="22.41796875" style="49" customWidth="1"/>
    <col min="6145" max="6145" width="17.89453125" style="49" bestFit="1" customWidth="1"/>
    <col min="6146" max="6146" width="28.41796875" style="49" customWidth="1"/>
    <col min="6147" max="6147" width="26.5234375" style="49" customWidth="1"/>
    <col min="6148" max="6148" width="18.89453125" style="49" customWidth="1"/>
    <col min="6149" max="6396" width="8.89453125" style="49"/>
    <col min="6397" max="6397" width="3.89453125" style="49" bestFit="1" customWidth="1"/>
    <col min="6398" max="6398" width="22.89453125" style="49" customWidth="1"/>
    <col min="6399" max="6399" width="30.41796875" style="49" customWidth="1"/>
    <col min="6400" max="6400" width="22.41796875" style="49" customWidth="1"/>
    <col min="6401" max="6401" width="17.89453125" style="49" bestFit="1" customWidth="1"/>
    <col min="6402" max="6402" width="28.41796875" style="49" customWidth="1"/>
    <col min="6403" max="6403" width="26.5234375" style="49" customWidth="1"/>
    <col min="6404" max="6404" width="18.89453125" style="49" customWidth="1"/>
    <col min="6405" max="6652" width="8.89453125" style="49"/>
    <col min="6653" max="6653" width="3.89453125" style="49" bestFit="1" customWidth="1"/>
    <col min="6654" max="6654" width="22.89453125" style="49" customWidth="1"/>
    <col min="6655" max="6655" width="30.41796875" style="49" customWidth="1"/>
    <col min="6656" max="6656" width="22.41796875" style="49" customWidth="1"/>
    <col min="6657" max="6657" width="17.89453125" style="49" bestFit="1" customWidth="1"/>
    <col min="6658" max="6658" width="28.41796875" style="49" customWidth="1"/>
    <col min="6659" max="6659" width="26.5234375" style="49" customWidth="1"/>
    <col min="6660" max="6660" width="18.89453125" style="49" customWidth="1"/>
    <col min="6661" max="6908" width="8.89453125" style="49"/>
    <col min="6909" max="6909" width="3.89453125" style="49" bestFit="1" customWidth="1"/>
    <col min="6910" max="6910" width="22.89453125" style="49" customWidth="1"/>
    <col min="6911" max="6911" width="30.41796875" style="49" customWidth="1"/>
    <col min="6912" max="6912" width="22.41796875" style="49" customWidth="1"/>
    <col min="6913" max="6913" width="17.89453125" style="49" bestFit="1" customWidth="1"/>
    <col min="6914" max="6914" width="28.41796875" style="49" customWidth="1"/>
    <col min="6915" max="6915" width="26.5234375" style="49" customWidth="1"/>
    <col min="6916" max="6916" width="18.89453125" style="49" customWidth="1"/>
    <col min="6917" max="7164" width="8.89453125" style="49"/>
    <col min="7165" max="7165" width="3.89453125" style="49" bestFit="1" customWidth="1"/>
    <col min="7166" max="7166" width="22.89453125" style="49" customWidth="1"/>
    <col min="7167" max="7167" width="30.41796875" style="49" customWidth="1"/>
    <col min="7168" max="7168" width="22.41796875" style="49" customWidth="1"/>
    <col min="7169" max="7169" width="17.89453125" style="49" bestFit="1" customWidth="1"/>
    <col min="7170" max="7170" width="28.41796875" style="49" customWidth="1"/>
    <col min="7171" max="7171" width="26.5234375" style="49" customWidth="1"/>
    <col min="7172" max="7172" width="18.89453125" style="49" customWidth="1"/>
    <col min="7173" max="7420" width="8.89453125" style="49"/>
    <col min="7421" max="7421" width="3.89453125" style="49" bestFit="1" customWidth="1"/>
    <col min="7422" max="7422" width="22.89453125" style="49" customWidth="1"/>
    <col min="7423" max="7423" width="30.41796875" style="49" customWidth="1"/>
    <col min="7424" max="7424" width="22.41796875" style="49" customWidth="1"/>
    <col min="7425" max="7425" width="17.89453125" style="49" bestFit="1" customWidth="1"/>
    <col min="7426" max="7426" width="28.41796875" style="49" customWidth="1"/>
    <col min="7427" max="7427" width="26.5234375" style="49" customWidth="1"/>
    <col min="7428" max="7428" width="18.89453125" style="49" customWidth="1"/>
    <col min="7429" max="7676" width="8.89453125" style="49"/>
    <col min="7677" max="7677" width="3.89453125" style="49" bestFit="1" customWidth="1"/>
    <col min="7678" max="7678" width="22.89453125" style="49" customWidth="1"/>
    <col min="7679" max="7679" width="30.41796875" style="49" customWidth="1"/>
    <col min="7680" max="7680" width="22.41796875" style="49" customWidth="1"/>
    <col min="7681" max="7681" width="17.89453125" style="49" bestFit="1" customWidth="1"/>
    <col min="7682" max="7682" width="28.41796875" style="49" customWidth="1"/>
    <col min="7683" max="7683" width="26.5234375" style="49" customWidth="1"/>
    <col min="7684" max="7684" width="18.89453125" style="49" customWidth="1"/>
    <col min="7685" max="7932" width="8.89453125" style="49"/>
    <col min="7933" max="7933" width="3.89453125" style="49" bestFit="1" customWidth="1"/>
    <col min="7934" max="7934" width="22.89453125" style="49" customWidth="1"/>
    <col min="7935" max="7935" width="30.41796875" style="49" customWidth="1"/>
    <col min="7936" max="7936" width="22.41796875" style="49" customWidth="1"/>
    <col min="7937" max="7937" width="17.89453125" style="49" bestFit="1" customWidth="1"/>
    <col min="7938" max="7938" width="28.41796875" style="49" customWidth="1"/>
    <col min="7939" max="7939" width="26.5234375" style="49" customWidth="1"/>
    <col min="7940" max="7940" width="18.89453125" style="49" customWidth="1"/>
    <col min="7941" max="8188" width="8.89453125" style="49"/>
    <col min="8189" max="8189" width="3.89453125" style="49" bestFit="1" customWidth="1"/>
    <col min="8190" max="8190" width="22.89453125" style="49" customWidth="1"/>
    <col min="8191" max="8191" width="30.41796875" style="49" customWidth="1"/>
    <col min="8192" max="8192" width="22.41796875" style="49" customWidth="1"/>
    <col min="8193" max="8193" width="17.89453125" style="49" bestFit="1" customWidth="1"/>
    <col min="8194" max="8194" width="28.41796875" style="49" customWidth="1"/>
    <col min="8195" max="8195" width="26.5234375" style="49" customWidth="1"/>
    <col min="8196" max="8196" width="18.89453125" style="49" customWidth="1"/>
    <col min="8197" max="8444" width="8.89453125" style="49"/>
    <col min="8445" max="8445" width="3.89453125" style="49" bestFit="1" customWidth="1"/>
    <col min="8446" max="8446" width="22.89453125" style="49" customWidth="1"/>
    <col min="8447" max="8447" width="30.41796875" style="49" customWidth="1"/>
    <col min="8448" max="8448" width="22.41796875" style="49" customWidth="1"/>
    <col min="8449" max="8449" width="17.89453125" style="49" bestFit="1" customWidth="1"/>
    <col min="8450" max="8450" width="28.41796875" style="49" customWidth="1"/>
    <col min="8451" max="8451" width="26.5234375" style="49" customWidth="1"/>
    <col min="8452" max="8452" width="18.89453125" style="49" customWidth="1"/>
    <col min="8453" max="8700" width="8.89453125" style="49"/>
    <col min="8701" max="8701" width="3.89453125" style="49" bestFit="1" customWidth="1"/>
    <col min="8702" max="8702" width="22.89453125" style="49" customWidth="1"/>
    <col min="8703" max="8703" width="30.41796875" style="49" customWidth="1"/>
    <col min="8704" max="8704" width="22.41796875" style="49" customWidth="1"/>
    <col min="8705" max="8705" width="17.89453125" style="49" bestFit="1" customWidth="1"/>
    <col min="8706" max="8706" width="28.41796875" style="49" customWidth="1"/>
    <col min="8707" max="8707" width="26.5234375" style="49" customWidth="1"/>
    <col min="8708" max="8708" width="18.89453125" style="49" customWidth="1"/>
    <col min="8709" max="8956" width="8.89453125" style="49"/>
    <col min="8957" max="8957" width="3.89453125" style="49" bestFit="1" customWidth="1"/>
    <col min="8958" max="8958" width="22.89453125" style="49" customWidth="1"/>
    <col min="8959" max="8959" width="30.41796875" style="49" customWidth="1"/>
    <col min="8960" max="8960" width="22.41796875" style="49" customWidth="1"/>
    <col min="8961" max="8961" width="17.89453125" style="49" bestFit="1" customWidth="1"/>
    <col min="8962" max="8962" width="28.41796875" style="49" customWidth="1"/>
    <col min="8963" max="8963" width="26.5234375" style="49" customWidth="1"/>
    <col min="8964" max="8964" width="18.89453125" style="49" customWidth="1"/>
    <col min="8965" max="9212" width="8.89453125" style="49"/>
    <col min="9213" max="9213" width="3.89453125" style="49" bestFit="1" customWidth="1"/>
    <col min="9214" max="9214" width="22.89453125" style="49" customWidth="1"/>
    <col min="9215" max="9215" width="30.41796875" style="49" customWidth="1"/>
    <col min="9216" max="9216" width="22.41796875" style="49" customWidth="1"/>
    <col min="9217" max="9217" width="17.89453125" style="49" bestFit="1" customWidth="1"/>
    <col min="9218" max="9218" width="28.41796875" style="49" customWidth="1"/>
    <col min="9219" max="9219" width="26.5234375" style="49" customWidth="1"/>
    <col min="9220" max="9220" width="18.89453125" style="49" customWidth="1"/>
    <col min="9221" max="9468" width="8.89453125" style="49"/>
    <col min="9469" max="9469" width="3.89453125" style="49" bestFit="1" customWidth="1"/>
    <col min="9470" max="9470" width="22.89453125" style="49" customWidth="1"/>
    <col min="9471" max="9471" width="30.41796875" style="49" customWidth="1"/>
    <col min="9472" max="9472" width="22.41796875" style="49" customWidth="1"/>
    <col min="9473" max="9473" width="17.89453125" style="49" bestFit="1" customWidth="1"/>
    <col min="9474" max="9474" width="28.41796875" style="49" customWidth="1"/>
    <col min="9475" max="9475" width="26.5234375" style="49" customWidth="1"/>
    <col min="9476" max="9476" width="18.89453125" style="49" customWidth="1"/>
    <col min="9477" max="9724" width="8.89453125" style="49"/>
    <col min="9725" max="9725" width="3.89453125" style="49" bestFit="1" customWidth="1"/>
    <col min="9726" max="9726" width="22.89453125" style="49" customWidth="1"/>
    <col min="9727" max="9727" width="30.41796875" style="49" customWidth="1"/>
    <col min="9728" max="9728" width="22.41796875" style="49" customWidth="1"/>
    <col min="9729" max="9729" width="17.89453125" style="49" bestFit="1" customWidth="1"/>
    <col min="9730" max="9730" width="28.41796875" style="49" customWidth="1"/>
    <col min="9731" max="9731" width="26.5234375" style="49" customWidth="1"/>
    <col min="9732" max="9732" width="18.89453125" style="49" customWidth="1"/>
    <col min="9733" max="9980" width="8.89453125" style="49"/>
    <col min="9981" max="9981" width="3.89453125" style="49" bestFit="1" customWidth="1"/>
    <col min="9982" max="9982" width="22.89453125" style="49" customWidth="1"/>
    <col min="9983" max="9983" width="30.41796875" style="49" customWidth="1"/>
    <col min="9984" max="9984" width="22.41796875" style="49" customWidth="1"/>
    <col min="9985" max="9985" width="17.89453125" style="49" bestFit="1" customWidth="1"/>
    <col min="9986" max="9986" width="28.41796875" style="49" customWidth="1"/>
    <col min="9987" max="9987" width="26.5234375" style="49" customWidth="1"/>
    <col min="9988" max="9988" width="18.89453125" style="49" customWidth="1"/>
    <col min="9989" max="10236" width="8.89453125" style="49"/>
    <col min="10237" max="10237" width="3.89453125" style="49" bestFit="1" customWidth="1"/>
    <col min="10238" max="10238" width="22.89453125" style="49" customWidth="1"/>
    <col min="10239" max="10239" width="30.41796875" style="49" customWidth="1"/>
    <col min="10240" max="10240" width="22.41796875" style="49" customWidth="1"/>
    <col min="10241" max="10241" width="17.89453125" style="49" bestFit="1" customWidth="1"/>
    <col min="10242" max="10242" width="28.41796875" style="49" customWidth="1"/>
    <col min="10243" max="10243" width="26.5234375" style="49" customWidth="1"/>
    <col min="10244" max="10244" width="18.89453125" style="49" customWidth="1"/>
    <col min="10245" max="10492" width="8.89453125" style="49"/>
    <col min="10493" max="10493" width="3.89453125" style="49" bestFit="1" customWidth="1"/>
    <col min="10494" max="10494" width="22.89453125" style="49" customWidth="1"/>
    <col min="10495" max="10495" width="30.41796875" style="49" customWidth="1"/>
    <col min="10496" max="10496" width="22.41796875" style="49" customWidth="1"/>
    <col min="10497" max="10497" width="17.89453125" style="49" bestFit="1" customWidth="1"/>
    <col min="10498" max="10498" width="28.41796875" style="49" customWidth="1"/>
    <col min="10499" max="10499" width="26.5234375" style="49" customWidth="1"/>
    <col min="10500" max="10500" width="18.89453125" style="49" customWidth="1"/>
    <col min="10501" max="10748" width="8.89453125" style="49"/>
    <col min="10749" max="10749" width="3.89453125" style="49" bestFit="1" customWidth="1"/>
    <col min="10750" max="10750" width="22.89453125" style="49" customWidth="1"/>
    <col min="10751" max="10751" width="30.41796875" style="49" customWidth="1"/>
    <col min="10752" max="10752" width="22.41796875" style="49" customWidth="1"/>
    <col min="10753" max="10753" width="17.89453125" style="49" bestFit="1" customWidth="1"/>
    <col min="10754" max="10754" width="28.41796875" style="49" customWidth="1"/>
    <col min="10755" max="10755" width="26.5234375" style="49" customWidth="1"/>
    <col min="10756" max="10756" width="18.89453125" style="49" customWidth="1"/>
    <col min="10757" max="11004" width="8.89453125" style="49"/>
    <col min="11005" max="11005" width="3.89453125" style="49" bestFit="1" customWidth="1"/>
    <col min="11006" max="11006" width="22.89453125" style="49" customWidth="1"/>
    <col min="11007" max="11007" width="30.41796875" style="49" customWidth="1"/>
    <col min="11008" max="11008" width="22.41796875" style="49" customWidth="1"/>
    <col min="11009" max="11009" width="17.89453125" style="49" bestFit="1" customWidth="1"/>
    <col min="11010" max="11010" width="28.41796875" style="49" customWidth="1"/>
    <col min="11011" max="11011" width="26.5234375" style="49" customWidth="1"/>
    <col min="11012" max="11012" width="18.89453125" style="49" customWidth="1"/>
    <col min="11013" max="11260" width="8.89453125" style="49"/>
    <col min="11261" max="11261" width="3.89453125" style="49" bestFit="1" customWidth="1"/>
    <col min="11262" max="11262" width="22.89453125" style="49" customWidth="1"/>
    <col min="11263" max="11263" width="30.41796875" style="49" customWidth="1"/>
    <col min="11264" max="11264" width="22.41796875" style="49" customWidth="1"/>
    <col min="11265" max="11265" width="17.89453125" style="49" bestFit="1" customWidth="1"/>
    <col min="11266" max="11266" width="28.41796875" style="49" customWidth="1"/>
    <col min="11267" max="11267" width="26.5234375" style="49" customWidth="1"/>
    <col min="11268" max="11268" width="18.89453125" style="49" customWidth="1"/>
    <col min="11269" max="11516" width="8.89453125" style="49"/>
    <col min="11517" max="11517" width="3.89453125" style="49" bestFit="1" customWidth="1"/>
    <col min="11518" max="11518" width="22.89453125" style="49" customWidth="1"/>
    <col min="11519" max="11519" width="30.41796875" style="49" customWidth="1"/>
    <col min="11520" max="11520" width="22.41796875" style="49" customWidth="1"/>
    <col min="11521" max="11521" width="17.89453125" style="49" bestFit="1" customWidth="1"/>
    <col min="11522" max="11522" width="28.41796875" style="49" customWidth="1"/>
    <col min="11523" max="11523" width="26.5234375" style="49" customWidth="1"/>
    <col min="11524" max="11524" width="18.89453125" style="49" customWidth="1"/>
    <col min="11525" max="11772" width="8.89453125" style="49"/>
    <col min="11773" max="11773" width="3.89453125" style="49" bestFit="1" customWidth="1"/>
    <col min="11774" max="11774" width="22.89453125" style="49" customWidth="1"/>
    <col min="11775" max="11775" width="30.41796875" style="49" customWidth="1"/>
    <col min="11776" max="11776" width="22.41796875" style="49" customWidth="1"/>
    <col min="11777" max="11777" width="17.89453125" style="49" bestFit="1" customWidth="1"/>
    <col min="11778" max="11778" width="28.41796875" style="49" customWidth="1"/>
    <col min="11779" max="11779" width="26.5234375" style="49" customWidth="1"/>
    <col min="11780" max="11780" width="18.89453125" style="49" customWidth="1"/>
    <col min="11781" max="12028" width="8.89453125" style="49"/>
    <col min="12029" max="12029" width="3.89453125" style="49" bestFit="1" customWidth="1"/>
    <col min="12030" max="12030" width="22.89453125" style="49" customWidth="1"/>
    <col min="12031" max="12031" width="30.41796875" style="49" customWidth="1"/>
    <col min="12032" max="12032" width="22.41796875" style="49" customWidth="1"/>
    <col min="12033" max="12033" width="17.89453125" style="49" bestFit="1" customWidth="1"/>
    <col min="12034" max="12034" width="28.41796875" style="49" customWidth="1"/>
    <col min="12035" max="12035" width="26.5234375" style="49" customWidth="1"/>
    <col min="12036" max="12036" width="18.89453125" style="49" customWidth="1"/>
    <col min="12037" max="12284" width="8.89453125" style="49"/>
    <col min="12285" max="12285" width="3.89453125" style="49" bestFit="1" customWidth="1"/>
    <col min="12286" max="12286" width="22.89453125" style="49" customWidth="1"/>
    <col min="12287" max="12287" width="30.41796875" style="49" customWidth="1"/>
    <col min="12288" max="12288" width="22.41796875" style="49" customWidth="1"/>
    <col min="12289" max="12289" width="17.89453125" style="49" bestFit="1" customWidth="1"/>
    <col min="12290" max="12290" width="28.41796875" style="49" customWidth="1"/>
    <col min="12291" max="12291" width="26.5234375" style="49" customWidth="1"/>
    <col min="12292" max="12292" width="18.89453125" style="49" customWidth="1"/>
    <col min="12293" max="12540" width="8.89453125" style="49"/>
    <col min="12541" max="12541" width="3.89453125" style="49" bestFit="1" customWidth="1"/>
    <col min="12542" max="12542" width="22.89453125" style="49" customWidth="1"/>
    <col min="12543" max="12543" width="30.41796875" style="49" customWidth="1"/>
    <col min="12544" max="12544" width="22.41796875" style="49" customWidth="1"/>
    <col min="12545" max="12545" width="17.89453125" style="49" bestFit="1" customWidth="1"/>
    <col min="12546" max="12546" width="28.41796875" style="49" customWidth="1"/>
    <col min="12547" max="12547" width="26.5234375" style="49" customWidth="1"/>
    <col min="12548" max="12548" width="18.89453125" style="49" customWidth="1"/>
    <col min="12549" max="12796" width="8.89453125" style="49"/>
    <col min="12797" max="12797" width="3.89453125" style="49" bestFit="1" customWidth="1"/>
    <col min="12798" max="12798" width="22.89453125" style="49" customWidth="1"/>
    <col min="12799" max="12799" width="30.41796875" style="49" customWidth="1"/>
    <col min="12800" max="12800" width="22.41796875" style="49" customWidth="1"/>
    <col min="12801" max="12801" width="17.89453125" style="49" bestFit="1" customWidth="1"/>
    <col min="12802" max="12802" width="28.41796875" style="49" customWidth="1"/>
    <col min="12803" max="12803" width="26.5234375" style="49" customWidth="1"/>
    <col min="12804" max="12804" width="18.89453125" style="49" customWidth="1"/>
    <col min="12805" max="13052" width="8.89453125" style="49"/>
    <col min="13053" max="13053" width="3.89453125" style="49" bestFit="1" customWidth="1"/>
    <col min="13054" max="13054" width="22.89453125" style="49" customWidth="1"/>
    <col min="13055" max="13055" width="30.41796875" style="49" customWidth="1"/>
    <col min="13056" max="13056" width="22.41796875" style="49" customWidth="1"/>
    <col min="13057" max="13057" width="17.89453125" style="49" bestFit="1" customWidth="1"/>
    <col min="13058" max="13058" width="28.41796875" style="49" customWidth="1"/>
    <col min="13059" max="13059" width="26.5234375" style="49" customWidth="1"/>
    <col min="13060" max="13060" width="18.89453125" style="49" customWidth="1"/>
    <col min="13061" max="13308" width="8.89453125" style="49"/>
    <col min="13309" max="13309" width="3.89453125" style="49" bestFit="1" customWidth="1"/>
    <col min="13310" max="13310" width="22.89453125" style="49" customWidth="1"/>
    <col min="13311" max="13311" width="30.41796875" style="49" customWidth="1"/>
    <col min="13312" max="13312" width="22.41796875" style="49" customWidth="1"/>
    <col min="13313" max="13313" width="17.89453125" style="49" bestFit="1" customWidth="1"/>
    <col min="13314" max="13314" width="28.41796875" style="49" customWidth="1"/>
    <col min="13315" max="13315" width="26.5234375" style="49" customWidth="1"/>
    <col min="13316" max="13316" width="18.89453125" style="49" customWidth="1"/>
    <col min="13317" max="13564" width="8.89453125" style="49"/>
    <col min="13565" max="13565" width="3.89453125" style="49" bestFit="1" customWidth="1"/>
    <col min="13566" max="13566" width="22.89453125" style="49" customWidth="1"/>
    <col min="13567" max="13567" width="30.41796875" style="49" customWidth="1"/>
    <col min="13568" max="13568" width="22.41796875" style="49" customWidth="1"/>
    <col min="13569" max="13569" width="17.89453125" style="49" bestFit="1" customWidth="1"/>
    <col min="13570" max="13570" width="28.41796875" style="49" customWidth="1"/>
    <col min="13571" max="13571" width="26.5234375" style="49" customWidth="1"/>
    <col min="13572" max="13572" width="18.89453125" style="49" customWidth="1"/>
    <col min="13573" max="13820" width="8.89453125" style="49"/>
    <col min="13821" max="13821" width="3.89453125" style="49" bestFit="1" customWidth="1"/>
    <col min="13822" max="13822" width="22.89453125" style="49" customWidth="1"/>
    <col min="13823" max="13823" width="30.41796875" style="49" customWidth="1"/>
    <col min="13824" max="13824" width="22.41796875" style="49" customWidth="1"/>
    <col min="13825" max="13825" width="17.89453125" style="49" bestFit="1" customWidth="1"/>
    <col min="13826" max="13826" width="28.41796875" style="49" customWidth="1"/>
    <col min="13827" max="13827" width="26.5234375" style="49" customWidth="1"/>
    <col min="13828" max="13828" width="18.89453125" style="49" customWidth="1"/>
    <col min="13829" max="14076" width="8.89453125" style="49"/>
    <col min="14077" max="14077" width="3.89453125" style="49" bestFit="1" customWidth="1"/>
    <col min="14078" max="14078" width="22.89453125" style="49" customWidth="1"/>
    <col min="14079" max="14079" width="30.41796875" style="49" customWidth="1"/>
    <col min="14080" max="14080" width="22.41796875" style="49" customWidth="1"/>
    <col min="14081" max="14081" width="17.89453125" style="49" bestFit="1" customWidth="1"/>
    <col min="14082" max="14082" width="28.41796875" style="49" customWidth="1"/>
    <col min="14083" max="14083" width="26.5234375" style="49" customWidth="1"/>
    <col min="14084" max="14084" width="18.89453125" style="49" customWidth="1"/>
    <col min="14085" max="14332" width="8.89453125" style="49"/>
    <col min="14333" max="14333" width="3.89453125" style="49" bestFit="1" customWidth="1"/>
    <col min="14334" max="14334" width="22.89453125" style="49" customWidth="1"/>
    <col min="14335" max="14335" width="30.41796875" style="49" customWidth="1"/>
    <col min="14336" max="14336" width="22.41796875" style="49" customWidth="1"/>
    <col min="14337" max="14337" width="17.89453125" style="49" bestFit="1" customWidth="1"/>
    <col min="14338" max="14338" width="28.41796875" style="49" customWidth="1"/>
    <col min="14339" max="14339" width="26.5234375" style="49" customWidth="1"/>
    <col min="14340" max="14340" width="18.89453125" style="49" customWidth="1"/>
    <col min="14341" max="14588" width="8.89453125" style="49"/>
    <col min="14589" max="14589" width="3.89453125" style="49" bestFit="1" customWidth="1"/>
    <col min="14590" max="14590" width="22.89453125" style="49" customWidth="1"/>
    <col min="14591" max="14591" width="30.41796875" style="49" customWidth="1"/>
    <col min="14592" max="14592" width="22.41796875" style="49" customWidth="1"/>
    <col min="14593" max="14593" width="17.89453125" style="49" bestFit="1" customWidth="1"/>
    <col min="14594" max="14594" width="28.41796875" style="49" customWidth="1"/>
    <col min="14595" max="14595" width="26.5234375" style="49" customWidth="1"/>
    <col min="14596" max="14596" width="18.89453125" style="49" customWidth="1"/>
    <col min="14597" max="14844" width="8.89453125" style="49"/>
    <col min="14845" max="14845" width="3.89453125" style="49" bestFit="1" customWidth="1"/>
    <col min="14846" max="14846" width="22.89453125" style="49" customWidth="1"/>
    <col min="14847" max="14847" width="30.41796875" style="49" customWidth="1"/>
    <col min="14848" max="14848" width="22.41796875" style="49" customWidth="1"/>
    <col min="14849" max="14849" width="17.89453125" style="49" bestFit="1" customWidth="1"/>
    <col min="14850" max="14850" width="28.41796875" style="49" customWidth="1"/>
    <col min="14851" max="14851" width="26.5234375" style="49" customWidth="1"/>
    <col min="14852" max="14852" width="18.89453125" style="49" customWidth="1"/>
    <col min="14853" max="15100" width="8.89453125" style="49"/>
    <col min="15101" max="15101" width="3.89453125" style="49" bestFit="1" customWidth="1"/>
    <col min="15102" max="15102" width="22.89453125" style="49" customWidth="1"/>
    <col min="15103" max="15103" width="30.41796875" style="49" customWidth="1"/>
    <col min="15104" max="15104" width="22.41796875" style="49" customWidth="1"/>
    <col min="15105" max="15105" width="17.89453125" style="49" bestFit="1" customWidth="1"/>
    <col min="15106" max="15106" width="28.41796875" style="49" customWidth="1"/>
    <col min="15107" max="15107" width="26.5234375" style="49" customWidth="1"/>
    <col min="15108" max="15108" width="18.89453125" style="49" customWidth="1"/>
    <col min="15109" max="15356" width="8.89453125" style="49"/>
    <col min="15357" max="15357" width="3.89453125" style="49" bestFit="1" customWidth="1"/>
    <col min="15358" max="15358" width="22.89453125" style="49" customWidth="1"/>
    <col min="15359" max="15359" width="30.41796875" style="49" customWidth="1"/>
    <col min="15360" max="15360" width="22.41796875" style="49" customWidth="1"/>
    <col min="15361" max="15361" width="17.89453125" style="49" bestFit="1" customWidth="1"/>
    <col min="15362" max="15362" width="28.41796875" style="49" customWidth="1"/>
    <col min="15363" max="15363" width="26.5234375" style="49" customWidth="1"/>
    <col min="15364" max="15364" width="18.89453125" style="49" customWidth="1"/>
    <col min="15365" max="15612" width="8.89453125" style="49"/>
    <col min="15613" max="15613" width="3.89453125" style="49" bestFit="1" customWidth="1"/>
    <col min="15614" max="15614" width="22.89453125" style="49" customWidth="1"/>
    <col min="15615" max="15615" width="30.41796875" style="49" customWidth="1"/>
    <col min="15616" max="15616" width="22.41796875" style="49" customWidth="1"/>
    <col min="15617" max="15617" width="17.89453125" style="49" bestFit="1" customWidth="1"/>
    <col min="15618" max="15618" width="28.41796875" style="49" customWidth="1"/>
    <col min="15619" max="15619" width="26.5234375" style="49" customWidth="1"/>
    <col min="15620" max="15620" width="18.89453125" style="49" customWidth="1"/>
    <col min="15621" max="15868" width="8.89453125" style="49"/>
    <col min="15869" max="15869" width="3.89453125" style="49" bestFit="1" customWidth="1"/>
    <col min="15870" max="15870" width="22.89453125" style="49" customWidth="1"/>
    <col min="15871" max="15871" width="30.41796875" style="49" customWidth="1"/>
    <col min="15872" max="15872" width="22.41796875" style="49" customWidth="1"/>
    <col min="15873" max="15873" width="17.89453125" style="49" bestFit="1" customWidth="1"/>
    <col min="15874" max="15874" width="28.41796875" style="49" customWidth="1"/>
    <col min="15875" max="15875" width="26.5234375" style="49" customWidth="1"/>
    <col min="15876" max="15876" width="18.89453125" style="49" customWidth="1"/>
    <col min="15877" max="16124" width="8.89453125" style="49"/>
    <col min="16125" max="16125" width="3.89453125" style="49" bestFit="1" customWidth="1"/>
    <col min="16126" max="16126" width="22.89453125" style="49" customWidth="1"/>
    <col min="16127" max="16127" width="30.41796875" style="49" customWidth="1"/>
    <col min="16128" max="16128" width="22.41796875" style="49" customWidth="1"/>
    <col min="16129" max="16129" width="17.89453125" style="49" bestFit="1" customWidth="1"/>
    <col min="16130" max="16130" width="28.41796875" style="49" customWidth="1"/>
    <col min="16131" max="16131" width="26.5234375" style="49" customWidth="1"/>
    <col min="16132" max="16132" width="18.89453125" style="49" customWidth="1"/>
    <col min="16133" max="16384" width="8.89453125" style="49"/>
  </cols>
  <sheetData>
    <row r="1" spans="1:11" ht="13.2" thickBot="1" x14ac:dyDescent="0.55000000000000004">
      <c r="C1" s="633" t="s">
        <v>354</v>
      </c>
    </row>
    <row r="2" spans="1:11" s="50" customFormat="1" ht="26.1" thickBot="1" x14ac:dyDescent="1">
      <c r="A2" s="634"/>
      <c r="B2" s="635" t="s">
        <v>330</v>
      </c>
      <c r="C2" s="636"/>
      <c r="D2" s="636"/>
      <c r="E2" s="636"/>
      <c r="F2" s="637"/>
      <c r="G2" s="634"/>
      <c r="H2" s="634"/>
      <c r="I2" s="634"/>
      <c r="J2" s="634"/>
      <c r="K2" s="634"/>
    </row>
    <row r="3" spans="1:11" ht="49.2" customHeight="1" thickBot="1" x14ac:dyDescent="0.55000000000000004">
      <c r="B3" s="638"/>
      <c r="C3" s="639" t="s">
        <v>329</v>
      </c>
      <c r="D3" s="640" t="s">
        <v>357</v>
      </c>
      <c r="E3" s="640" t="s">
        <v>405</v>
      </c>
      <c r="F3" s="641" t="s">
        <v>312</v>
      </c>
      <c r="H3" s="642" t="s">
        <v>385</v>
      </c>
      <c r="I3" s="643"/>
    </row>
    <row r="4" spans="1:11" ht="14.7" thickBot="1" x14ac:dyDescent="0.6">
      <c r="B4" s="644"/>
      <c r="C4" s="645" t="s">
        <v>331</v>
      </c>
      <c r="D4" s="646"/>
      <c r="E4" s="646"/>
      <c r="F4" s="647"/>
      <c r="H4" s="394" t="s">
        <v>355</v>
      </c>
      <c r="I4" s="648"/>
    </row>
    <row r="5" spans="1:11" ht="14.7" thickBot="1" x14ac:dyDescent="0.6">
      <c r="B5" s="649">
        <v>1</v>
      </c>
      <c r="C5" s="647" t="s">
        <v>332</v>
      </c>
      <c r="D5" s="116"/>
      <c r="E5" s="116"/>
      <c r="F5" s="116"/>
      <c r="G5" s="651"/>
      <c r="H5" s="394" t="s">
        <v>356</v>
      </c>
      <c r="I5" s="652"/>
    </row>
    <row r="6" spans="1:11" ht="14.7" thickBot="1" x14ac:dyDescent="0.6">
      <c r="B6" s="649">
        <v>2</v>
      </c>
      <c r="C6" s="647" t="s">
        <v>333</v>
      </c>
      <c r="D6" s="116"/>
      <c r="E6" s="116"/>
      <c r="F6" s="116"/>
      <c r="G6" s="651"/>
      <c r="H6" s="653" t="s">
        <v>387</v>
      </c>
      <c r="I6" s="654"/>
      <c r="J6" s="228"/>
    </row>
    <row r="7" spans="1:11" ht="14.7" thickBot="1" x14ac:dyDescent="0.6">
      <c r="B7" s="649">
        <v>3</v>
      </c>
      <c r="C7" s="647" t="s">
        <v>334</v>
      </c>
      <c r="D7" s="116"/>
      <c r="E7" s="116"/>
      <c r="F7" s="116"/>
      <c r="G7" s="651"/>
      <c r="H7" s="655"/>
      <c r="I7" s="656"/>
      <c r="J7" s="228"/>
    </row>
    <row r="8" spans="1:11" ht="14.7" thickBot="1" x14ac:dyDescent="0.6">
      <c r="B8" s="649">
        <v>4</v>
      </c>
      <c r="C8" s="647" t="s">
        <v>335</v>
      </c>
      <c r="D8" s="116"/>
      <c r="E8" s="116"/>
      <c r="F8" s="116"/>
      <c r="G8" s="651"/>
      <c r="H8" s="399" t="s">
        <v>386</v>
      </c>
      <c r="I8" s="657"/>
      <c r="J8" s="228"/>
    </row>
    <row r="9" spans="1:11" ht="14.7" thickBot="1" x14ac:dyDescent="0.6">
      <c r="B9" s="638">
        <v>5</v>
      </c>
      <c r="C9" s="658"/>
      <c r="D9" s="116"/>
      <c r="E9" s="116"/>
      <c r="F9" s="116"/>
      <c r="G9" s="651"/>
      <c r="H9" s="474"/>
      <c r="I9" s="474"/>
      <c r="J9" s="228"/>
    </row>
    <row r="10" spans="1:11" ht="14.7" thickBot="1" x14ac:dyDescent="0.6">
      <c r="B10" s="649"/>
      <c r="C10" s="645" t="s">
        <v>336</v>
      </c>
      <c r="D10" s="650"/>
      <c r="E10" s="650"/>
      <c r="F10" s="647"/>
      <c r="G10" s="651"/>
      <c r="H10" s="136"/>
      <c r="I10" s="136"/>
      <c r="J10" s="228"/>
    </row>
    <row r="11" spans="1:11" ht="14.7" thickBot="1" x14ac:dyDescent="0.6">
      <c r="B11" s="649">
        <v>6</v>
      </c>
      <c r="C11" s="647" t="s">
        <v>335</v>
      </c>
      <c r="D11" s="116"/>
      <c r="E11" s="116"/>
      <c r="F11" s="116"/>
      <c r="G11" s="651"/>
      <c r="H11" s="136"/>
      <c r="I11" s="136"/>
      <c r="J11" s="228"/>
    </row>
    <row r="12" spans="1:11" ht="14.7" thickBot="1" x14ac:dyDescent="0.6">
      <c r="B12" s="649">
        <v>7</v>
      </c>
      <c r="C12" s="647" t="s">
        <v>358</v>
      </c>
      <c r="D12" s="116"/>
      <c r="E12" s="116"/>
      <c r="F12" s="116"/>
      <c r="G12" s="651"/>
      <c r="H12" s="136"/>
      <c r="I12" s="136"/>
      <c r="J12" s="228"/>
    </row>
    <row r="13" spans="1:11" ht="14.7" thickBot="1" x14ac:dyDescent="0.6">
      <c r="B13" s="649">
        <v>8</v>
      </c>
      <c r="C13" s="647" t="s">
        <v>337</v>
      </c>
      <c r="D13" s="116"/>
      <c r="E13" s="116"/>
      <c r="F13" s="116"/>
      <c r="G13" s="651"/>
      <c r="H13" s="659"/>
      <c r="I13" s="660"/>
      <c r="J13" s="228"/>
    </row>
    <row r="14" spans="1:11" ht="14.7" thickBot="1" x14ac:dyDescent="0.6">
      <c r="B14" s="649">
        <v>9</v>
      </c>
      <c r="D14" s="116"/>
      <c r="E14" s="116"/>
      <c r="F14" s="116"/>
      <c r="G14" s="651"/>
      <c r="H14" s="659"/>
      <c r="I14" s="660"/>
      <c r="J14" s="228"/>
    </row>
    <row r="15" spans="1:11" ht="14.7" thickBot="1" x14ac:dyDescent="0.6">
      <c r="B15" s="649">
        <v>10</v>
      </c>
      <c r="C15" s="661"/>
      <c r="D15" s="116"/>
      <c r="E15" s="116"/>
      <c r="F15" s="116"/>
      <c r="G15" s="651"/>
      <c r="H15" s="659"/>
      <c r="I15" s="660"/>
      <c r="J15" s="228"/>
    </row>
    <row r="16" spans="1:11" ht="14.7" thickBot="1" x14ac:dyDescent="0.6">
      <c r="B16" s="649"/>
      <c r="C16" s="645" t="s">
        <v>338</v>
      </c>
      <c r="D16" s="650"/>
      <c r="E16" s="650"/>
      <c r="F16" s="647"/>
      <c r="G16" s="651"/>
      <c r="H16" s="662" t="s">
        <v>455</v>
      </c>
      <c r="I16" s="663"/>
      <c r="J16" s="228"/>
    </row>
    <row r="17" spans="2:10" ht="14.7" thickBot="1" x14ac:dyDescent="0.6">
      <c r="B17" s="649">
        <v>11</v>
      </c>
      <c r="C17" s="647" t="s">
        <v>339</v>
      </c>
      <c r="D17" s="116"/>
      <c r="E17" s="116"/>
      <c r="F17" s="116"/>
      <c r="G17" s="651"/>
      <c r="H17" s="664" t="s">
        <v>157</v>
      </c>
      <c r="I17" s="110" t="s">
        <v>381</v>
      </c>
      <c r="J17" s="228"/>
    </row>
    <row r="18" spans="2:10" ht="14.7" thickBot="1" x14ac:dyDescent="0.6">
      <c r="B18" s="649">
        <v>12</v>
      </c>
      <c r="C18" s="647" t="s">
        <v>340</v>
      </c>
      <c r="D18" s="116"/>
      <c r="E18" s="116"/>
      <c r="F18" s="116"/>
      <c r="G18" s="651"/>
      <c r="H18" s="664" t="s">
        <v>397</v>
      </c>
      <c r="I18" s="110"/>
      <c r="J18" s="228"/>
    </row>
    <row r="19" spans="2:10" ht="14.7" thickBot="1" x14ac:dyDescent="0.6">
      <c r="B19" s="649">
        <v>13</v>
      </c>
      <c r="C19" s="647" t="s">
        <v>359</v>
      </c>
      <c r="D19" s="116"/>
      <c r="E19" s="116"/>
      <c r="F19" s="116"/>
      <c r="G19" s="651"/>
      <c r="H19" s="664" t="s">
        <v>134</v>
      </c>
      <c r="I19" s="110"/>
    </row>
    <row r="20" spans="2:10" ht="14.7" thickBot="1" x14ac:dyDescent="0.6">
      <c r="B20" s="649">
        <v>14</v>
      </c>
      <c r="C20" s="647" t="s">
        <v>345</v>
      </c>
      <c r="D20" s="116"/>
      <c r="E20" s="116"/>
      <c r="F20" s="116"/>
      <c r="G20" s="651"/>
      <c r="H20" s="664" t="s">
        <v>102</v>
      </c>
      <c r="I20" s="111">
        <v>0.5</v>
      </c>
    </row>
    <row r="21" spans="2:10" ht="14.7" thickBot="1" x14ac:dyDescent="0.6">
      <c r="B21" s="649">
        <v>15</v>
      </c>
      <c r="C21" s="647"/>
      <c r="D21" s="116"/>
      <c r="E21" s="116"/>
      <c r="F21" s="116"/>
      <c r="G21" s="651"/>
      <c r="H21" s="664" t="s">
        <v>135</v>
      </c>
      <c r="I21" s="112">
        <v>6</v>
      </c>
    </row>
    <row r="22" spans="2:10" ht="14.7" thickBot="1" x14ac:dyDescent="0.6">
      <c r="B22" s="649">
        <v>16</v>
      </c>
      <c r="C22" s="647"/>
      <c r="D22" s="116"/>
      <c r="E22" s="116"/>
      <c r="F22" s="116"/>
      <c r="G22" s="651"/>
      <c r="H22" s="672" t="s">
        <v>566</v>
      </c>
      <c r="I22" s="113">
        <v>49920</v>
      </c>
    </row>
    <row r="23" spans="2:10" ht="14.7" thickBot="1" x14ac:dyDescent="0.6">
      <c r="B23" s="649"/>
      <c r="C23" s="665" t="s">
        <v>341</v>
      </c>
      <c r="D23" s="650"/>
      <c r="E23" s="650"/>
      <c r="F23" s="647"/>
      <c r="G23" s="651"/>
      <c r="H23" s="666" t="s">
        <v>346</v>
      </c>
      <c r="I23" s="667">
        <f>ROUNDUP((I18*I19)+(I18*I19*I20)+(((I18*I19)+(I18*I19*I20))*I21),0)</f>
        <v>0</v>
      </c>
    </row>
    <row r="24" spans="2:10" ht="14.7" thickBot="1" x14ac:dyDescent="0.6">
      <c r="B24" s="649">
        <v>17</v>
      </c>
      <c r="C24" s="668" t="s">
        <v>344</v>
      </c>
      <c r="D24" s="116"/>
      <c r="E24" s="116"/>
      <c r="F24" s="116"/>
      <c r="G24" s="651"/>
    </row>
    <row r="25" spans="2:10" ht="14.7" thickBot="1" x14ac:dyDescent="0.6">
      <c r="B25" s="649">
        <v>18</v>
      </c>
      <c r="C25" s="668" t="s">
        <v>342</v>
      </c>
      <c r="D25" s="116"/>
      <c r="E25" s="116"/>
      <c r="F25" s="116"/>
      <c r="G25" s="651"/>
    </row>
    <row r="26" spans="2:10" ht="14.7" thickBot="1" x14ac:dyDescent="0.6">
      <c r="B26" s="649">
        <v>19</v>
      </c>
      <c r="C26" s="668" t="s">
        <v>343</v>
      </c>
      <c r="D26" s="116"/>
      <c r="E26" s="116"/>
      <c r="F26" s="116"/>
      <c r="G26" s="651"/>
      <c r="H26" s="662" t="s">
        <v>456</v>
      </c>
      <c r="I26" s="663"/>
    </row>
    <row r="27" spans="2:10" ht="14.7" thickBot="1" x14ac:dyDescent="0.6">
      <c r="B27" s="649">
        <v>20</v>
      </c>
      <c r="C27" s="669"/>
      <c r="D27" s="116"/>
      <c r="E27" s="116"/>
      <c r="F27" s="116"/>
      <c r="G27" s="651"/>
      <c r="H27" s="664" t="s">
        <v>397</v>
      </c>
      <c r="I27" s="110"/>
    </row>
    <row r="28" spans="2:10" ht="14.7" thickBot="1" x14ac:dyDescent="0.6">
      <c r="B28" s="649">
        <v>21</v>
      </c>
      <c r="C28" s="661"/>
      <c r="D28" s="116"/>
      <c r="E28" s="116"/>
      <c r="F28" s="116"/>
      <c r="G28" s="651"/>
      <c r="H28" s="664" t="s">
        <v>134</v>
      </c>
      <c r="I28" s="114"/>
    </row>
    <row r="29" spans="2:10" ht="14.7" thickBot="1" x14ac:dyDescent="0.6">
      <c r="B29" s="649"/>
      <c r="C29" s="665" t="s">
        <v>367</v>
      </c>
      <c r="D29" s="650"/>
      <c r="E29" s="650"/>
      <c r="F29" s="647"/>
      <c r="G29" s="651"/>
      <c r="H29" s="664" t="s">
        <v>102</v>
      </c>
      <c r="I29" s="115">
        <v>0.5</v>
      </c>
    </row>
    <row r="30" spans="2:10" ht="14.7" thickBot="1" x14ac:dyDescent="0.6">
      <c r="B30" s="649">
        <v>22</v>
      </c>
      <c r="C30" s="647" t="s">
        <v>362</v>
      </c>
      <c r="D30" s="116"/>
      <c r="E30" s="116"/>
      <c r="F30" s="116"/>
      <c r="G30" s="651"/>
      <c r="H30" s="664" t="s">
        <v>135</v>
      </c>
      <c r="I30" s="113">
        <v>6</v>
      </c>
    </row>
    <row r="31" spans="2:10" ht="14.7" thickBot="1" x14ac:dyDescent="0.6">
      <c r="B31" s="649">
        <v>23</v>
      </c>
      <c r="C31" s="647" t="s">
        <v>361</v>
      </c>
      <c r="D31" s="116"/>
      <c r="E31" s="116"/>
      <c r="F31" s="116"/>
      <c r="G31" s="651"/>
      <c r="H31" s="672" t="s">
        <v>566</v>
      </c>
      <c r="I31" s="113">
        <v>49920</v>
      </c>
    </row>
    <row r="32" spans="2:10" ht="14.7" thickBot="1" x14ac:dyDescent="0.6">
      <c r="B32" s="649">
        <v>24</v>
      </c>
      <c r="C32" s="647" t="s">
        <v>360</v>
      </c>
      <c r="D32" s="116"/>
      <c r="E32" s="116"/>
      <c r="F32" s="116"/>
      <c r="G32" s="651"/>
      <c r="H32" s="666" t="s">
        <v>346</v>
      </c>
      <c r="I32" s="667">
        <f>ROUNDUP((I27*I28)+(I27*I28*I29)+(((I27*I28)+(I27*I28*I29))*I30),0)</f>
        <v>0</v>
      </c>
    </row>
    <row r="33" spans="2:8" ht="14.7" thickBot="1" x14ac:dyDescent="0.6">
      <c r="B33" s="649">
        <v>25</v>
      </c>
      <c r="C33" s="647" t="s">
        <v>363</v>
      </c>
      <c r="D33" s="116"/>
      <c r="E33" s="116"/>
      <c r="F33" s="116"/>
      <c r="G33" s="651"/>
    </row>
    <row r="34" spans="2:8" ht="14.7" thickBot="1" x14ac:dyDescent="0.6">
      <c r="B34" s="649">
        <v>26</v>
      </c>
      <c r="C34" s="647"/>
      <c r="D34" s="116"/>
      <c r="E34" s="116"/>
      <c r="F34" s="116"/>
      <c r="G34" s="651"/>
    </row>
    <row r="35" spans="2:8" ht="14.7" thickBot="1" x14ac:dyDescent="0.6">
      <c r="B35" s="670">
        <v>27</v>
      </c>
      <c r="C35" s="647"/>
      <c r="D35" s="116"/>
      <c r="E35" s="116"/>
      <c r="F35" s="116"/>
      <c r="G35" s="651"/>
    </row>
    <row r="36" spans="2:8" x14ac:dyDescent="0.5">
      <c r="G36" s="651"/>
    </row>
    <row r="37" spans="2:8" x14ac:dyDescent="0.5">
      <c r="G37" s="651"/>
    </row>
    <row r="38" spans="2:8" x14ac:dyDescent="0.5">
      <c r="G38" s="651"/>
    </row>
    <row r="39" spans="2:8" x14ac:dyDescent="0.5">
      <c r="G39" s="651"/>
    </row>
    <row r="40" spans="2:8" x14ac:dyDescent="0.5">
      <c r="G40" s="651"/>
    </row>
    <row r="41" spans="2:8" x14ac:dyDescent="0.5">
      <c r="G41" s="651"/>
    </row>
    <row r="42" spans="2:8" x14ac:dyDescent="0.5">
      <c r="G42" s="651"/>
      <c r="H42" s="659"/>
    </row>
    <row r="43" spans="2:8" x14ac:dyDescent="0.5">
      <c r="G43" s="651"/>
    </row>
    <row r="44" spans="2:8" x14ac:dyDescent="0.5">
      <c r="G44" s="651"/>
    </row>
    <row r="45" spans="2:8" x14ac:dyDescent="0.5">
      <c r="G45" s="651"/>
    </row>
    <row r="47" spans="2:8" x14ac:dyDescent="0.5">
      <c r="B47" s="671"/>
    </row>
    <row r="48" spans="2:8" x14ac:dyDescent="0.5">
      <c r="B48" s="671"/>
    </row>
    <row r="49" spans="2:2" x14ac:dyDescent="0.5">
      <c r="B49" s="671"/>
    </row>
    <row r="50" spans="2:2" x14ac:dyDescent="0.5">
      <c r="B50" s="671"/>
    </row>
    <row r="51" spans="2:2" x14ac:dyDescent="0.5">
      <c r="B51" s="671"/>
    </row>
    <row r="52" spans="2:2" x14ac:dyDescent="0.5">
      <c r="B52" s="671"/>
    </row>
    <row r="53" spans="2:2" x14ac:dyDescent="0.5">
      <c r="B53" s="671"/>
    </row>
    <row r="54" spans="2:2" x14ac:dyDescent="0.5">
      <c r="B54" s="671"/>
    </row>
    <row r="55" spans="2:2" x14ac:dyDescent="0.5">
      <c r="B55" s="671"/>
    </row>
    <row r="56" spans="2:2" x14ac:dyDescent="0.5">
      <c r="B56" s="671"/>
    </row>
    <row r="57" spans="2:2" x14ac:dyDescent="0.5">
      <c r="B57" s="671"/>
    </row>
    <row r="58" spans="2:2" x14ac:dyDescent="0.5">
      <c r="B58" s="671"/>
    </row>
    <row r="59" spans="2:2" x14ac:dyDescent="0.5">
      <c r="B59" s="671"/>
    </row>
    <row r="60" spans="2:2" x14ac:dyDescent="0.5">
      <c r="B60" s="671"/>
    </row>
    <row r="61" spans="2:2" x14ac:dyDescent="0.5">
      <c r="B61" s="671"/>
    </row>
    <row r="62" spans="2:2" x14ac:dyDescent="0.5">
      <c r="B62" s="671"/>
    </row>
    <row r="63" spans="2:2" x14ac:dyDescent="0.5">
      <c r="B63" s="671"/>
    </row>
    <row r="64" spans="2:2" x14ac:dyDescent="0.5">
      <c r="B64" s="671"/>
    </row>
    <row r="65" spans="2:2" x14ac:dyDescent="0.5">
      <c r="B65" s="671"/>
    </row>
    <row r="66" spans="2:2" x14ac:dyDescent="0.5">
      <c r="B66" s="671"/>
    </row>
    <row r="67" spans="2:2" x14ac:dyDescent="0.5">
      <c r="B67" s="671"/>
    </row>
    <row r="68" spans="2:2" x14ac:dyDescent="0.5">
      <c r="B68" s="671"/>
    </row>
    <row r="69" spans="2:2" x14ac:dyDescent="0.5">
      <c r="B69" s="671"/>
    </row>
    <row r="70" spans="2:2" x14ac:dyDescent="0.5">
      <c r="B70" s="671"/>
    </row>
    <row r="71" spans="2:2" x14ac:dyDescent="0.5">
      <c r="B71" s="671"/>
    </row>
    <row r="72" spans="2:2" x14ac:dyDescent="0.5">
      <c r="B72" s="671"/>
    </row>
    <row r="73" spans="2:2" x14ac:dyDescent="0.5">
      <c r="B73" s="671"/>
    </row>
    <row r="74" spans="2:2" x14ac:dyDescent="0.5">
      <c r="B74" s="671"/>
    </row>
    <row r="75" spans="2:2" x14ac:dyDescent="0.5">
      <c r="B75" s="671"/>
    </row>
    <row r="76" spans="2:2" x14ac:dyDescent="0.5">
      <c r="B76" s="671"/>
    </row>
  </sheetData>
  <sheetProtection algorithmName="SHA-512" hashValue="5FNLH50TZIrCR5rRXSgWozCUYfMOuCSdovazu2SssIk426OzMRK7kxvnSRBaipnAmgmFmttkb8rIB+mpkOP6tQ==" saltValue="EXDykcttde3sOrT9GfXxvQ==" spinCount="100000" sheet="1" objects="1" scenarios="1" selectLockedCells="1"/>
  <mergeCells count="7">
    <mergeCell ref="B2:F2"/>
    <mergeCell ref="H3:I3"/>
    <mergeCell ref="H16:I16"/>
    <mergeCell ref="H26:I26"/>
    <mergeCell ref="H9:I9"/>
    <mergeCell ref="H6:H7"/>
    <mergeCell ref="I6:I7"/>
  </mergeCells>
  <conditionalFormatting sqref="D17:D22 D24:D28 D30:D35 D5:D9 D11:D15">
    <cfRule type="expression" dxfId="39" priority="26">
      <formula>D5=""</formula>
    </cfRule>
    <cfRule type="cellIs" dxfId="38" priority="28" operator="between">
      <formula>0</formula>
      <formula>5</formula>
    </cfRule>
    <cfRule type="cellIs" dxfId="37" priority="29" operator="between">
      <formula>-5</formula>
      <formula>0</formula>
    </cfRule>
    <cfRule type="cellIs" dxfId="36" priority="33" operator="lessThan">
      <formula>-5</formula>
    </cfRule>
    <cfRule type="cellIs" dxfId="35" priority="34" operator="greaterThan">
      <formula>5</formula>
    </cfRule>
  </conditionalFormatting>
  <conditionalFormatting sqref="E5:F9">
    <cfRule type="expression" dxfId="34" priority="21">
      <formula>E5=""</formula>
    </cfRule>
    <cfRule type="cellIs" dxfId="33" priority="22" operator="between">
      <formula>0</formula>
      <formula>5</formula>
    </cfRule>
    <cfRule type="cellIs" dxfId="32" priority="23" operator="between">
      <formula>-5</formula>
      <formula>0</formula>
    </cfRule>
    <cfRule type="cellIs" dxfId="31" priority="24" operator="lessThan">
      <formula>-5</formula>
    </cfRule>
    <cfRule type="cellIs" dxfId="30" priority="25" operator="greaterThan">
      <formula>5</formula>
    </cfRule>
  </conditionalFormatting>
  <conditionalFormatting sqref="E11:F15">
    <cfRule type="expression" dxfId="29" priority="16">
      <formula>E11=""</formula>
    </cfRule>
    <cfRule type="cellIs" dxfId="28" priority="17" operator="between">
      <formula>0</formula>
      <formula>5</formula>
    </cfRule>
    <cfRule type="cellIs" dxfId="27" priority="18" operator="between">
      <formula>-5</formula>
      <formula>0</formula>
    </cfRule>
    <cfRule type="cellIs" dxfId="26" priority="19" operator="lessThan">
      <formula>-5</formula>
    </cfRule>
    <cfRule type="cellIs" dxfId="25" priority="20" operator="greaterThan">
      <formula>5</formula>
    </cfRule>
  </conditionalFormatting>
  <conditionalFormatting sqref="E17:F22">
    <cfRule type="expression" dxfId="24" priority="11">
      <formula>E17=""</formula>
    </cfRule>
    <cfRule type="cellIs" dxfId="23" priority="12" operator="between">
      <formula>0</formula>
      <formula>5</formula>
    </cfRule>
    <cfRule type="cellIs" dxfId="22" priority="13" operator="between">
      <formula>-5</formula>
      <formula>0</formula>
    </cfRule>
    <cfRule type="cellIs" dxfId="21" priority="14" operator="lessThan">
      <formula>-5</formula>
    </cfRule>
    <cfRule type="cellIs" dxfId="20" priority="15" operator="greaterThan">
      <formula>5</formula>
    </cfRule>
  </conditionalFormatting>
  <conditionalFormatting sqref="E24:F28">
    <cfRule type="expression" dxfId="19" priority="6">
      <formula>E24=""</formula>
    </cfRule>
    <cfRule type="cellIs" dxfId="18" priority="7" operator="between">
      <formula>0</formula>
      <formula>5</formula>
    </cfRule>
    <cfRule type="cellIs" dxfId="17" priority="8" operator="between">
      <formula>-5</formula>
      <formula>0</formula>
    </cfRule>
    <cfRule type="cellIs" dxfId="16" priority="9" operator="lessThan">
      <formula>-5</formula>
    </cfRule>
    <cfRule type="cellIs" dxfId="15" priority="10" operator="greaterThan">
      <formula>5</formula>
    </cfRule>
  </conditionalFormatting>
  <conditionalFormatting sqref="E30:F35">
    <cfRule type="expression" dxfId="14" priority="1">
      <formula>E30=""</formula>
    </cfRule>
    <cfRule type="cellIs" dxfId="13" priority="2" operator="between">
      <formula>0</formula>
      <formula>5</formula>
    </cfRule>
    <cfRule type="cellIs" dxfId="12" priority="3" operator="between">
      <formula>-5</formula>
      <formula>0</formula>
    </cfRule>
    <cfRule type="cellIs" dxfId="11" priority="4" operator="lessThan">
      <formula>-5</formula>
    </cfRule>
    <cfRule type="cellIs" dxfId="10" priority="5" operator="greaterThan">
      <formula>5</formula>
    </cfRule>
  </conditionalFormatting>
  <dataValidations count="1">
    <dataValidation type="list" allowBlank="1" showInputMessage="1" showErrorMessage="1" sqref="I17" xr:uid="{33584AEA-4301-43B3-8E85-9859C85D2D44}">
      <formula1>"Select, FP, HTL"</formula1>
    </dataValidation>
  </dataValidations>
  <pageMargins left="0.7" right="0.7" top="0.75" bottom="0.75" header="0.3" footer="0.3"/>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555F-EC53-4620-815D-E9F70186EC77}">
  <dimension ref="A1:U70"/>
  <sheetViews>
    <sheetView showGridLines="0" topLeftCell="D4" zoomScale="70" zoomScaleNormal="70" workbookViewId="0">
      <selection activeCell="X33" sqref="W32:X33"/>
    </sheetView>
  </sheetViews>
  <sheetFormatPr defaultColWidth="8.89453125" defaultRowHeight="12.9" x14ac:dyDescent="0.5"/>
  <cols>
    <col min="1" max="1" width="3.89453125" style="632" customWidth="1"/>
    <col min="2" max="2" width="3.89453125" style="632" bestFit="1" customWidth="1"/>
    <col min="3" max="3" width="48.9453125" style="632" customWidth="1"/>
    <col min="4" max="4" width="23.20703125" style="632" customWidth="1"/>
    <col min="5" max="5" width="12.47265625" style="632" customWidth="1"/>
    <col min="6" max="6" width="5.578125" style="632" customWidth="1"/>
    <col min="7" max="7" width="24.9453125" style="632" customWidth="1"/>
    <col min="8" max="8" width="16.89453125" style="632" customWidth="1"/>
    <col min="9" max="9" width="9.05078125" style="632" customWidth="1"/>
    <col min="10" max="10" width="10.68359375" style="632" customWidth="1"/>
    <col min="11" max="11" width="35.89453125" style="632" customWidth="1"/>
    <col min="12" max="12" width="28.26171875" style="632" customWidth="1"/>
    <col min="13" max="21" width="8.89453125" style="632"/>
    <col min="22" max="256" width="8.89453125" style="49"/>
    <col min="257" max="257" width="3.89453125" style="49" bestFit="1" customWidth="1"/>
    <col min="258" max="258" width="22.89453125" style="49" customWidth="1"/>
    <col min="259" max="259" width="30.41796875" style="49" customWidth="1"/>
    <col min="260" max="260" width="22.41796875" style="49" customWidth="1"/>
    <col min="261" max="261" width="17.89453125" style="49" bestFit="1" customWidth="1"/>
    <col min="262" max="262" width="28.41796875" style="49" customWidth="1"/>
    <col min="263" max="263" width="26.5234375" style="49" customWidth="1"/>
    <col min="264" max="264" width="18.89453125" style="49" customWidth="1"/>
    <col min="265" max="512" width="8.89453125" style="49"/>
    <col min="513" max="513" width="3.89453125" style="49" bestFit="1" customWidth="1"/>
    <col min="514" max="514" width="22.89453125" style="49" customWidth="1"/>
    <col min="515" max="515" width="30.41796875" style="49" customWidth="1"/>
    <col min="516" max="516" width="22.41796875" style="49" customWidth="1"/>
    <col min="517" max="517" width="17.89453125" style="49" bestFit="1" customWidth="1"/>
    <col min="518" max="518" width="28.41796875" style="49" customWidth="1"/>
    <col min="519" max="519" width="26.5234375" style="49" customWidth="1"/>
    <col min="520" max="520" width="18.89453125" style="49" customWidth="1"/>
    <col min="521" max="768" width="8.89453125" style="49"/>
    <col min="769" max="769" width="3.89453125" style="49" bestFit="1" customWidth="1"/>
    <col min="770" max="770" width="22.89453125" style="49" customWidth="1"/>
    <col min="771" max="771" width="30.41796875" style="49" customWidth="1"/>
    <col min="772" max="772" width="22.41796875" style="49" customWidth="1"/>
    <col min="773" max="773" width="17.89453125" style="49" bestFit="1" customWidth="1"/>
    <col min="774" max="774" width="28.41796875" style="49" customWidth="1"/>
    <col min="775" max="775" width="26.5234375" style="49" customWidth="1"/>
    <col min="776" max="776" width="18.89453125" style="49" customWidth="1"/>
    <col min="777" max="1024" width="8.89453125" style="49"/>
    <col min="1025" max="1025" width="3.89453125" style="49" bestFit="1" customWidth="1"/>
    <col min="1026" max="1026" width="22.89453125" style="49" customWidth="1"/>
    <col min="1027" max="1027" width="30.41796875" style="49" customWidth="1"/>
    <col min="1028" max="1028" width="22.41796875" style="49" customWidth="1"/>
    <col min="1029" max="1029" width="17.89453125" style="49" bestFit="1" customWidth="1"/>
    <col min="1030" max="1030" width="28.41796875" style="49" customWidth="1"/>
    <col min="1031" max="1031" width="26.5234375" style="49" customWidth="1"/>
    <col min="1032" max="1032" width="18.89453125" style="49" customWidth="1"/>
    <col min="1033" max="1280" width="8.89453125" style="49"/>
    <col min="1281" max="1281" width="3.89453125" style="49" bestFit="1" customWidth="1"/>
    <col min="1282" max="1282" width="22.89453125" style="49" customWidth="1"/>
    <col min="1283" max="1283" width="30.41796875" style="49" customWidth="1"/>
    <col min="1284" max="1284" width="22.41796875" style="49" customWidth="1"/>
    <col min="1285" max="1285" width="17.89453125" style="49" bestFit="1" customWidth="1"/>
    <col min="1286" max="1286" width="28.41796875" style="49" customWidth="1"/>
    <col min="1287" max="1287" width="26.5234375" style="49" customWidth="1"/>
    <col min="1288" max="1288" width="18.89453125" style="49" customWidth="1"/>
    <col min="1289" max="1536" width="8.89453125" style="49"/>
    <col min="1537" max="1537" width="3.89453125" style="49" bestFit="1" customWidth="1"/>
    <col min="1538" max="1538" width="22.89453125" style="49" customWidth="1"/>
    <col min="1539" max="1539" width="30.41796875" style="49" customWidth="1"/>
    <col min="1540" max="1540" width="22.41796875" style="49" customWidth="1"/>
    <col min="1541" max="1541" width="17.89453125" style="49" bestFit="1" customWidth="1"/>
    <col min="1542" max="1542" width="28.41796875" style="49" customWidth="1"/>
    <col min="1543" max="1543" width="26.5234375" style="49" customWidth="1"/>
    <col min="1544" max="1544" width="18.89453125" style="49" customWidth="1"/>
    <col min="1545" max="1792" width="8.89453125" style="49"/>
    <col min="1793" max="1793" width="3.89453125" style="49" bestFit="1" customWidth="1"/>
    <col min="1794" max="1794" width="22.89453125" style="49" customWidth="1"/>
    <col min="1795" max="1795" width="30.41796875" style="49" customWidth="1"/>
    <col min="1796" max="1796" width="22.41796875" style="49" customWidth="1"/>
    <col min="1797" max="1797" width="17.89453125" style="49" bestFit="1" customWidth="1"/>
    <col min="1798" max="1798" width="28.41796875" style="49" customWidth="1"/>
    <col min="1799" max="1799" width="26.5234375" style="49" customWidth="1"/>
    <col min="1800" max="1800" width="18.89453125" style="49" customWidth="1"/>
    <col min="1801" max="2048" width="8.89453125" style="49"/>
    <col min="2049" max="2049" width="3.89453125" style="49" bestFit="1" customWidth="1"/>
    <col min="2050" max="2050" width="22.89453125" style="49" customWidth="1"/>
    <col min="2051" max="2051" width="30.41796875" style="49" customWidth="1"/>
    <col min="2052" max="2052" width="22.41796875" style="49" customWidth="1"/>
    <col min="2053" max="2053" width="17.89453125" style="49" bestFit="1" customWidth="1"/>
    <col min="2054" max="2054" width="28.41796875" style="49" customWidth="1"/>
    <col min="2055" max="2055" width="26.5234375" style="49" customWidth="1"/>
    <col min="2056" max="2056" width="18.89453125" style="49" customWidth="1"/>
    <col min="2057" max="2304" width="8.89453125" style="49"/>
    <col min="2305" max="2305" width="3.89453125" style="49" bestFit="1" customWidth="1"/>
    <col min="2306" max="2306" width="22.89453125" style="49" customWidth="1"/>
    <col min="2307" max="2307" width="30.41796875" style="49" customWidth="1"/>
    <col min="2308" max="2308" width="22.41796875" style="49" customWidth="1"/>
    <col min="2309" max="2309" width="17.89453125" style="49" bestFit="1" customWidth="1"/>
    <col min="2310" max="2310" width="28.41796875" style="49" customWidth="1"/>
    <col min="2311" max="2311" width="26.5234375" style="49" customWidth="1"/>
    <col min="2312" max="2312" width="18.89453125" style="49" customWidth="1"/>
    <col min="2313" max="2560" width="8.89453125" style="49"/>
    <col min="2561" max="2561" width="3.89453125" style="49" bestFit="1" customWidth="1"/>
    <col min="2562" max="2562" width="22.89453125" style="49" customWidth="1"/>
    <col min="2563" max="2563" width="30.41796875" style="49" customWidth="1"/>
    <col min="2564" max="2564" width="22.41796875" style="49" customWidth="1"/>
    <col min="2565" max="2565" width="17.89453125" style="49" bestFit="1" customWidth="1"/>
    <col min="2566" max="2566" width="28.41796875" style="49" customWidth="1"/>
    <col min="2567" max="2567" width="26.5234375" style="49" customWidth="1"/>
    <col min="2568" max="2568" width="18.89453125" style="49" customWidth="1"/>
    <col min="2569" max="2816" width="8.89453125" style="49"/>
    <col min="2817" max="2817" width="3.89453125" style="49" bestFit="1" customWidth="1"/>
    <col min="2818" max="2818" width="22.89453125" style="49" customWidth="1"/>
    <col min="2819" max="2819" width="30.41796875" style="49" customWidth="1"/>
    <col min="2820" max="2820" width="22.41796875" style="49" customWidth="1"/>
    <col min="2821" max="2821" width="17.89453125" style="49" bestFit="1" customWidth="1"/>
    <col min="2822" max="2822" width="28.41796875" style="49" customWidth="1"/>
    <col min="2823" max="2823" width="26.5234375" style="49" customWidth="1"/>
    <col min="2824" max="2824" width="18.89453125" style="49" customWidth="1"/>
    <col min="2825" max="3072" width="8.89453125" style="49"/>
    <col min="3073" max="3073" width="3.89453125" style="49" bestFit="1" customWidth="1"/>
    <col min="3074" max="3074" width="22.89453125" style="49" customWidth="1"/>
    <col min="3075" max="3075" width="30.41796875" style="49" customWidth="1"/>
    <col min="3076" max="3076" width="22.41796875" style="49" customWidth="1"/>
    <col min="3077" max="3077" width="17.89453125" style="49" bestFit="1" customWidth="1"/>
    <col min="3078" max="3078" width="28.41796875" style="49" customWidth="1"/>
    <col min="3079" max="3079" width="26.5234375" style="49" customWidth="1"/>
    <col min="3080" max="3080" width="18.89453125" style="49" customWidth="1"/>
    <col min="3081" max="3328" width="8.89453125" style="49"/>
    <col min="3329" max="3329" width="3.89453125" style="49" bestFit="1" customWidth="1"/>
    <col min="3330" max="3330" width="22.89453125" style="49" customWidth="1"/>
    <col min="3331" max="3331" width="30.41796875" style="49" customWidth="1"/>
    <col min="3332" max="3332" width="22.41796875" style="49" customWidth="1"/>
    <col min="3333" max="3333" width="17.89453125" style="49" bestFit="1" customWidth="1"/>
    <col min="3334" max="3334" width="28.41796875" style="49" customWidth="1"/>
    <col min="3335" max="3335" width="26.5234375" style="49" customWidth="1"/>
    <col min="3336" max="3336" width="18.89453125" style="49" customWidth="1"/>
    <col min="3337" max="3584" width="8.89453125" style="49"/>
    <col min="3585" max="3585" width="3.89453125" style="49" bestFit="1" customWidth="1"/>
    <col min="3586" max="3586" width="22.89453125" style="49" customWidth="1"/>
    <col min="3587" max="3587" width="30.41796875" style="49" customWidth="1"/>
    <col min="3588" max="3588" width="22.41796875" style="49" customWidth="1"/>
    <col min="3589" max="3589" width="17.89453125" style="49" bestFit="1" customWidth="1"/>
    <col min="3590" max="3590" width="28.41796875" style="49" customWidth="1"/>
    <col min="3591" max="3591" width="26.5234375" style="49" customWidth="1"/>
    <col min="3592" max="3592" width="18.89453125" style="49" customWidth="1"/>
    <col min="3593" max="3840" width="8.89453125" style="49"/>
    <col min="3841" max="3841" width="3.89453125" style="49" bestFit="1" customWidth="1"/>
    <col min="3842" max="3842" width="22.89453125" style="49" customWidth="1"/>
    <col min="3843" max="3843" width="30.41796875" style="49" customWidth="1"/>
    <col min="3844" max="3844" width="22.41796875" style="49" customWidth="1"/>
    <col min="3845" max="3845" width="17.89453125" style="49" bestFit="1" customWidth="1"/>
    <col min="3846" max="3846" width="28.41796875" style="49" customWidth="1"/>
    <col min="3847" max="3847" width="26.5234375" style="49" customWidth="1"/>
    <col min="3848" max="3848" width="18.89453125" style="49" customWidth="1"/>
    <col min="3849" max="4096" width="8.89453125" style="49"/>
    <col min="4097" max="4097" width="3.89453125" style="49" bestFit="1" customWidth="1"/>
    <col min="4098" max="4098" width="22.89453125" style="49" customWidth="1"/>
    <col min="4099" max="4099" width="30.41796875" style="49" customWidth="1"/>
    <col min="4100" max="4100" width="22.41796875" style="49" customWidth="1"/>
    <col min="4101" max="4101" width="17.89453125" style="49" bestFit="1" customWidth="1"/>
    <col min="4102" max="4102" width="28.41796875" style="49" customWidth="1"/>
    <col min="4103" max="4103" width="26.5234375" style="49" customWidth="1"/>
    <col min="4104" max="4104" width="18.89453125" style="49" customWidth="1"/>
    <col min="4105" max="4352" width="8.89453125" style="49"/>
    <col min="4353" max="4353" width="3.89453125" style="49" bestFit="1" customWidth="1"/>
    <col min="4354" max="4354" width="22.89453125" style="49" customWidth="1"/>
    <col min="4355" max="4355" width="30.41796875" style="49" customWidth="1"/>
    <col min="4356" max="4356" width="22.41796875" style="49" customWidth="1"/>
    <col min="4357" max="4357" width="17.89453125" style="49" bestFit="1" customWidth="1"/>
    <col min="4358" max="4358" width="28.41796875" style="49" customWidth="1"/>
    <col min="4359" max="4359" width="26.5234375" style="49" customWidth="1"/>
    <col min="4360" max="4360" width="18.89453125" style="49" customWidth="1"/>
    <col min="4361" max="4608" width="8.89453125" style="49"/>
    <col min="4609" max="4609" width="3.89453125" style="49" bestFit="1" customWidth="1"/>
    <col min="4610" max="4610" width="22.89453125" style="49" customWidth="1"/>
    <col min="4611" max="4611" width="30.41796875" style="49" customWidth="1"/>
    <col min="4612" max="4612" width="22.41796875" style="49" customWidth="1"/>
    <col min="4613" max="4613" width="17.89453125" style="49" bestFit="1" customWidth="1"/>
    <col min="4614" max="4614" width="28.41796875" style="49" customWidth="1"/>
    <col min="4615" max="4615" width="26.5234375" style="49" customWidth="1"/>
    <col min="4616" max="4616" width="18.89453125" style="49" customWidth="1"/>
    <col min="4617" max="4864" width="8.89453125" style="49"/>
    <col min="4865" max="4865" width="3.89453125" style="49" bestFit="1" customWidth="1"/>
    <col min="4866" max="4866" width="22.89453125" style="49" customWidth="1"/>
    <col min="4867" max="4867" width="30.41796875" style="49" customWidth="1"/>
    <col min="4868" max="4868" width="22.41796875" style="49" customWidth="1"/>
    <col min="4869" max="4869" width="17.89453125" style="49" bestFit="1" customWidth="1"/>
    <col min="4870" max="4870" width="28.41796875" style="49" customWidth="1"/>
    <col min="4871" max="4871" width="26.5234375" style="49" customWidth="1"/>
    <col min="4872" max="4872" width="18.89453125" style="49" customWidth="1"/>
    <col min="4873" max="5120" width="8.89453125" style="49"/>
    <col min="5121" max="5121" width="3.89453125" style="49" bestFit="1" customWidth="1"/>
    <col min="5122" max="5122" width="22.89453125" style="49" customWidth="1"/>
    <col min="5123" max="5123" width="30.41796875" style="49" customWidth="1"/>
    <col min="5124" max="5124" width="22.41796875" style="49" customWidth="1"/>
    <col min="5125" max="5125" width="17.89453125" style="49" bestFit="1" customWidth="1"/>
    <col min="5126" max="5126" width="28.41796875" style="49" customWidth="1"/>
    <col min="5127" max="5127" width="26.5234375" style="49" customWidth="1"/>
    <col min="5128" max="5128" width="18.89453125" style="49" customWidth="1"/>
    <col min="5129" max="5376" width="8.89453125" style="49"/>
    <col min="5377" max="5377" width="3.89453125" style="49" bestFit="1" customWidth="1"/>
    <col min="5378" max="5378" width="22.89453125" style="49" customWidth="1"/>
    <col min="5379" max="5379" width="30.41796875" style="49" customWidth="1"/>
    <col min="5380" max="5380" width="22.41796875" style="49" customWidth="1"/>
    <col min="5381" max="5381" width="17.89453125" style="49" bestFit="1" customWidth="1"/>
    <col min="5382" max="5382" width="28.41796875" style="49" customWidth="1"/>
    <col min="5383" max="5383" width="26.5234375" style="49" customWidth="1"/>
    <col min="5384" max="5384" width="18.89453125" style="49" customWidth="1"/>
    <col min="5385" max="5632" width="8.89453125" style="49"/>
    <col min="5633" max="5633" width="3.89453125" style="49" bestFit="1" customWidth="1"/>
    <col min="5634" max="5634" width="22.89453125" style="49" customWidth="1"/>
    <col min="5635" max="5635" width="30.41796875" style="49" customWidth="1"/>
    <col min="5636" max="5636" width="22.41796875" style="49" customWidth="1"/>
    <col min="5637" max="5637" width="17.89453125" style="49" bestFit="1" customWidth="1"/>
    <col min="5638" max="5638" width="28.41796875" style="49" customWidth="1"/>
    <col min="5639" max="5639" width="26.5234375" style="49" customWidth="1"/>
    <col min="5640" max="5640" width="18.89453125" style="49" customWidth="1"/>
    <col min="5641" max="5888" width="8.89453125" style="49"/>
    <col min="5889" max="5889" width="3.89453125" style="49" bestFit="1" customWidth="1"/>
    <col min="5890" max="5890" width="22.89453125" style="49" customWidth="1"/>
    <col min="5891" max="5891" width="30.41796875" style="49" customWidth="1"/>
    <col min="5892" max="5892" width="22.41796875" style="49" customWidth="1"/>
    <col min="5893" max="5893" width="17.89453125" style="49" bestFit="1" customWidth="1"/>
    <col min="5894" max="5894" width="28.41796875" style="49" customWidth="1"/>
    <col min="5895" max="5895" width="26.5234375" style="49" customWidth="1"/>
    <col min="5896" max="5896" width="18.89453125" style="49" customWidth="1"/>
    <col min="5897" max="6144" width="8.89453125" style="49"/>
    <col min="6145" max="6145" width="3.89453125" style="49" bestFit="1" customWidth="1"/>
    <col min="6146" max="6146" width="22.89453125" style="49" customWidth="1"/>
    <col min="6147" max="6147" width="30.41796875" style="49" customWidth="1"/>
    <col min="6148" max="6148" width="22.41796875" style="49" customWidth="1"/>
    <col min="6149" max="6149" width="17.89453125" style="49" bestFit="1" customWidth="1"/>
    <col min="6150" max="6150" width="28.41796875" style="49" customWidth="1"/>
    <col min="6151" max="6151" width="26.5234375" style="49" customWidth="1"/>
    <col min="6152" max="6152" width="18.89453125" style="49" customWidth="1"/>
    <col min="6153" max="6400" width="8.89453125" style="49"/>
    <col min="6401" max="6401" width="3.89453125" style="49" bestFit="1" customWidth="1"/>
    <col min="6402" max="6402" width="22.89453125" style="49" customWidth="1"/>
    <col min="6403" max="6403" width="30.41796875" style="49" customWidth="1"/>
    <col min="6404" max="6404" width="22.41796875" style="49" customWidth="1"/>
    <col min="6405" max="6405" width="17.89453125" style="49" bestFit="1" customWidth="1"/>
    <col min="6406" max="6406" width="28.41796875" style="49" customWidth="1"/>
    <col min="6407" max="6407" width="26.5234375" style="49" customWidth="1"/>
    <col min="6408" max="6408" width="18.89453125" style="49" customWidth="1"/>
    <col min="6409" max="6656" width="8.89453125" style="49"/>
    <col min="6657" max="6657" width="3.89453125" style="49" bestFit="1" customWidth="1"/>
    <col min="6658" max="6658" width="22.89453125" style="49" customWidth="1"/>
    <col min="6659" max="6659" width="30.41796875" style="49" customWidth="1"/>
    <col min="6660" max="6660" width="22.41796875" style="49" customWidth="1"/>
    <col min="6661" max="6661" width="17.89453125" style="49" bestFit="1" customWidth="1"/>
    <col min="6662" max="6662" width="28.41796875" style="49" customWidth="1"/>
    <col min="6663" max="6663" width="26.5234375" style="49" customWidth="1"/>
    <col min="6664" max="6664" width="18.89453125" style="49" customWidth="1"/>
    <col min="6665" max="6912" width="8.89453125" style="49"/>
    <col min="6913" max="6913" width="3.89453125" style="49" bestFit="1" customWidth="1"/>
    <col min="6914" max="6914" width="22.89453125" style="49" customWidth="1"/>
    <col min="6915" max="6915" width="30.41796875" style="49" customWidth="1"/>
    <col min="6916" max="6916" width="22.41796875" style="49" customWidth="1"/>
    <col min="6917" max="6917" width="17.89453125" style="49" bestFit="1" customWidth="1"/>
    <col min="6918" max="6918" width="28.41796875" style="49" customWidth="1"/>
    <col min="6919" max="6919" width="26.5234375" style="49" customWidth="1"/>
    <col min="6920" max="6920" width="18.89453125" style="49" customWidth="1"/>
    <col min="6921" max="7168" width="8.89453125" style="49"/>
    <col min="7169" max="7169" width="3.89453125" style="49" bestFit="1" customWidth="1"/>
    <col min="7170" max="7170" width="22.89453125" style="49" customWidth="1"/>
    <col min="7171" max="7171" width="30.41796875" style="49" customWidth="1"/>
    <col min="7172" max="7172" width="22.41796875" style="49" customWidth="1"/>
    <col min="7173" max="7173" width="17.89453125" style="49" bestFit="1" customWidth="1"/>
    <col min="7174" max="7174" width="28.41796875" style="49" customWidth="1"/>
    <col min="7175" max="7175" width="26.5234375" style="49" customWidth="1"/>
    <col min="7176" max="7176" width="18.89453125" style="49" customWidth="1"/>
    <col min="7177" max="7424" width="8.89453125" style="49"/>
    <col min="7425" max="7425" width="3.89453125" style="49" bestFit="1" customWidth="1"/>
    <col min="7426" max="7426" width="22.89453125" style="49" customWidth="1"/>
    <col min="7427" max="7427" width="30.41796875" style="49" customWidth="1"/>
    <col min="7428" max="7428" width="22.41796875" style="49" customWidth="1"/>
    <col min="7429" max="7429" width="17.89453125" style="49" bestFit="1" customWidth="1"/>
    <col min="7430" max="7430" width="28.41796875" style="49" customWidth="1"/>
    <col min="7431" max="7431" width="26.5234375" style="49" customWidth="1"/>
    <col min="7432" max="7432" width="18.89453125" style="49" customWidth="1"/>
    <col min="7433" max="7680" width="8.89453125" style="49"/>
    <col min="7681" max="7681" width="3.89453125" style="49" bestFit="1" customWidth="1"/>
    <col min="7682" max="7682" width="22.89453125" style="49" customWidth="1"/>
    <col min="7683" max="7683" width="30.41796875" style="49" customWidth="1"/>
    <col min="7684" max="7684" width="22.41796875" style="49" customWidth="1"/>
    <col min="7685" max="7685" width="17.89453125" style="49" bestFit="1" customWidth="1"/>
    <col min="7686" max="7686" width="28.41796875" style="49" customWidth="1"/>
    <col min="7687" max="7687" width="26.5234375" style="49" customWidth="1"/>
    <col min="7688" max="7688" width="18.89453125" style="49" customWidth="1"/>
    <col min="7689" max="7936" width="8.89453125" style="49"/>
    <col min="7937" max="7937" width="3.89453125" style="49" bestFit="1" customWidth="1"/>
    <col min="7938" max="7938" width="22.89453125" style="49" customWidth="1"/>
    <col min="7939" max="7939" width="30.41796875" style="49" customWidth="1"/>
    <col min="7940" max="7940" width="22.41796875" style="49" customWidth="1"/>
    <col min="7941" max="7941" width="17.89453125" style="49" bestFit="1" customWidth="1"/>
    <col min="7942" max="7942" width="28.41796875" style="49" customWidth="1"/>
    <col min="7943" max="7943" width="26.5234375" style="49" customWidth="1"/>
    <col min="7944" max="7944" width="18.89453125" style="49" customWidth="1"/>
    <col min="7945" max="8192" width="8.89453125" style="49"/>
    <col min="8193" max="8193" width="3.89453125" style="49" bestFit="1" customWidth="1"/>
    <col min="8194" max="8194" width="22.89453125" style="49" customWidth="1"/>
    <col min="8195" max="8195" width="30.41796875" style="49" customWidth="1"/>
    <col min="8196" max="8196" width="22.41796875" style="49" customWidth="1"/>
    <col min="8197" max="8197" width="17.89453125" style="49" bestFit="1" customWidth="1"/>
    <col min="8198" max="8198" width="28.41796875" style="49" customWidth="1"/>
    <col min="8199" max="8199" width="26.5234375" style="49" customWidth="1"/>
    <col min="8200" max="8200" width="18.89453125" style="49" customWidth="1"/>
    <col min="8201" max="8448" width="8.89453125" style="49"/>
    <col min="8449" max="8449" width="3.89453125" style="49" bestFit="1" customWidth="1"/>
    <col min="8450" max="8450" width="22.89453125" style="49" customWidth="1"/>
    <col min="8451" max="8451" width="30.41796875" style="49" customWidth="1"/>
    <col min="8452" max="8452" width="22.41796875" style="49" customWidth="1"/>
    <col min="8453" max="8453" width="17.89453125" style="49" bestFit="1" customWidth="1"/>
    <col min="8454" max="8454" width="28.41796875" style="49" customWidth="1"/>
    <col min="8455" max="8455" width="26.5234375" style="49" customWidth="1"/>
    <col min="8456" max="8456" width="18.89453125" style="49" customWidth="1"/>
    <col min="8457" max="8704" width="8.89453125" style="49"/>
    <col min="8705" max="8705" width="3.89453125" style="49" bestFit="1" customWidth="1"/>
    <col min="8706" max="8706" width="22.89453125" style="49" customWidth="1"/>
    <col min="8707" max="8707" width="30.41796875" style="49" customWidth="1"/>
    <col min="8708" max="8708" width="22.41796875" style="49" customWidth="1"/>
    <col min="8709" max="8709" width="17.89453125" style="49" bestFit="1" customWidth="1"/>
    <col min="8710" max="8710" width="28.41796875" style="49" customWidth="1"/>
    <col min="8711" max="8711" width="26.5234375" style="49" customWidth="1"/>
    <col min="8712" max="8712" width="18.89453125" style="49" customWidth="1"/>
    <col min="8713" max="8960" width="8.89453125" style="49"/>
    <col min="8961" max="8961" width="3.89453125" style="49" bestFit="1" customWidth="1"/>
    <col min="8962" max="8962" width="22.89453125" style="49" customWidth="1"/>
    <col min="8963" max="8963" width="30.41796875" style="49" customWidth="1"/>
    <col min="8964" max="8964" width="22.41796875" style="49" customWidth="1"/>
    <col min="8965" max="8965" width="17.89453125" style="49" bestFit="1" customWidth="1"/>
    <col min="8966" max="8966" width="28.41796875" style="49" customWidth="1"/>
    <col min="8967" max="8967" width="26.5234375" style="49" customWidth="1"/>
    <col min="8968" max="8968" width="18.89453125" style="49" customWidth="1"/>
    <col min="8969" max="9216" width="8.89453125" style="49"/>
    <col min="9217" max="9217" width="3.89453125" style="49" bestFit="1" customWidth="1"/>
    <col min="9218" max="9218" width="22.89453125" style="49" customWidth="1"/>
    <col min="9219" max="9219" width="30.41796875" style="49" customWidth="1"/>
    <col min="9220" max="9220" width="22.41796875" style="49" customWidth="1"/>
    <col min="9221" max="9221" width="17.89453125" style="49" bestFit="1" customWidth="1"/>
    <col min="9222" max="9222" width="28.41796875" style="49" customWidth="1"/>
    <col min="9223" max="9223" width="26.5234375" style="49" customWidth="1"/>
    <col min="9224" max="9224" width="18.89453125" style="49" customWidth="1"/>
    <col min="9225" max="9472" width="8.89453125" style="49"/>
    <col min="9473" max="9473" width="3.89453125" style="49" bestFit="1" customWidth="1"/>
    <col min="9474" max="9474" width="22.89453125" style="49" customWidth="1"/>
    <col min="9475" max="9475" width="30.41796875" style="49" customWidth="1"/>
    <col min="9476" max="9476" width="22.41796875" style="49" customWidth="1"/>
    <col min="9477" max="9477" width="17.89453125" style="49" bestFit="1" customWidth="1"/>
    <col min="9478" max="9478" width="28.41796875" style="49" customWidth="1"/>
    <col min="9479" max="9479" width="26.5234375" style="49" customWidth="1"/>
    <col min="9480" max="9480" width="18.89453125" style="49" customWidth="1"/>
    <col min="9481" max="9728" width="8.89453125" style="49"/>
    <col min="9729" max="9729" width="3.89453125" style="49" bestFit="1" customWidth="1"/>
    <col min="9730" max="9730" width="22.89453125" style="49" customWidth="1"/>
    <col min="9731" max="9731" width="30.41796875" style="49" customWidth="1"/>
    <col min="9732" max="9732" width="22.41796875" style="49" customWidth="1"/>
    <col min="9733" max="9733" width="17.89453125" style="49" bestFit="1" customWidth="1"/>
    <col min="9734" max="9734" width="28.41796875" style="49" customWidth="1"/>
    <col min="9735" max="9735" width="26.5234375" style="49" customWidth="1"/>
    <col min="9736" max="9736" width="18.89453125" style="49" customWidth="1"/>
    <col min="9737" max="9984" width="8.89453125" style="49"/>
    <col min="9985" max="9985" width="3.89453125" style="49" bestFit="1" customWidth="1"/>
    <col min="9986" max="9986" width="22.89453125" style="49" customWidth="1"/>
    <col min="9987" max="9987" width="30.41796875" style="49" customWidth="1"/>
    <col min="9988" max="9988" width="22.41796875" style="49" customWidth="1"/>
    <col min="9989" max="9989" width="17.89453125" style="49" bestFit="1" customWidth="1"/>
    <col min="9990" max="9990" width="28.41796875" style="49" customWidth="1"/>
    <col min="9991" max="9991" width="26.5234375" style="49" customWidth="1"/>
    <col min="9992" max="9992" width="18.89453125" style="49" customWidth="1"/>
    <col min="9993" max="10240" width="8.89453125" style="49"/>
    <col min="10241" max="10241" width="3.89453125" style="49" bestFit="1" customWidth="1"/>
    <col min="10242" max="10242" width="22.89453125" style="49" customWidth="1"/>
    <col min="10243" max="10243" width="30.41796875" style="49" customWidth="1"/>
    <col min="10244" max="10244" width="22.41796875" style="49" customWidth="1"/>
    <col min="10245" max="10245" width="17.89453125" style="49" bestFit="1" customWidth="1"/>
    <col min="10246" max="10246" width="28.41796875" style="49" customWidth="1"/>
    <col min="10247" max="10247" width="26.5234375" style="49" customWidth="1"/>
    <col min="10248" max="10248" width="18.89453125" style="49" customWidth="1"/>
    <col min="10249" max="10496" width="8.89453125" style="49"/>
    <col min="10497" max="10497" width="3.89453125" style="49" bestFit="1" customWidth="1"/>
    <col min="10498" max="10498" width="22.89453125" style="49" customWidth="1"/>
    <col min="10499" max="10499" width="30.41796875" style="49" customWidth="1"/>
    <col min="10500" max="10500" width="22.41796875" style="49" customWidth="1"/>
    <col min="10501" max="10501" width="17.89453125" style="49" bestFit="1" customWidth="1"/>
    <col min="10502" max="10502" width="28.41796875" style="49" customWidth="1"/>
    <col min="10503" max="10503" width="26.5234375" style="49" customWidth="1"/>
    <col min="10504" max="10504" width="18.89453125" style="49" customWidth="1"/>
    <col min="10505" max="10752" width="8.89453125" style="49"/>
    <col min="10753" max="10753" width="3.89453125" style="49" bestFit="1" customWidth="1"/>
    <col min="10754" max="10754" width="22.89453125" style="49" customWidth="1"/>
    <col min="10755" max="10755" width="30.41796875" style="49" customWidth="1"/>
    <col min="10756" max="10756" width="22.41796875" style="49" customWidth="1"/>
    <col min="10757" max="10757" width="17.89453125" style="49" bestFit="1" customWidth="1"/>
    <col min="10758" max="10758" width="28.41796875" style="49" customWidth="1"/>
    <col min="10759" max="10759" width="26.5234375" style="49" customWidth="1"/>
    <col min="10760" max="10760" width="18.89453125" style="49" customWidth="1"/>
    <col min="10761" max="11008" width="8.89453125" style="49"/>
    <col min="11009" max="11009" width="3.89453125" style="49" bestFit="1" customWidth="1"/>
    <col min="11010" max="11010" width="22.89453125" style="49" customWidth="1"/>
    <col min="11011" max="11011" width="30.41796875" style="49" customWidth="1"/>
    <col min="11012" max="11012" width="22.41796875" style="49" customWidth="1"/>
    <col min="11013" max="11013" width="17.89453125" style="49" bestFit="1" customWidth="1"/>
    <col min="11014" max="11014" width="28.41796875" style="49" customWidth="1"/>
    <col min="11015" max="11015" width="26.5234375" style="49" customWidth="1"/>
    <col min="11016" max="11016" width="18.89453125" style="49" customWidth="1"/>
    <col min="11017" max="11264" width="8.89453125" style="49"/>
    <col min="11265" max="11265" width="3.89453125" style="49" bestFit="1" customWidth="1"/>
    <col min="11266" max="11266" width="22.89453125" style="49" customWidth="1"/>
    <col min="11267" max="11267" width="30.41796875" style="49" customWidth="1"/>
    <col min="11268" max="11268" width="22.41796875" style="49" customWidth="1"/>
    <col min="11269" max="11269" width="17.89453125" style="49" bestFit="1" customWidth="1"/>
    <col min="11270" max="11270" width="28.41796875" style="49" customWidth="1"/>
    <col min="11271" max="11271" width="26.5234375" style="49" customWidth="1"/>
    <col min="11272" max="11272" width="18.89453125" style="49" customWidth="1"/>
    <col min="11273" max="11520" width="8.89453125" style="49"/>
    <col min="11521" max="11521" width="3.89453125" style="49" bestFit="1" customWidth="1"/>
    <col min="11522" max="11522" width="22.89453125" style="49" customWidth="1"/>
    <col min="11523" max="11523" width="30.41796875" style="49" customWidth="1"/>
    <col min="11524" max="11524" width="22.41796875" style="49" customWidth="1"/>
    <col min="11525" max="11525" width="17.89453125" style="49" bestFit="1" customWidth="1"/>
    <col min="11526" max="11526" width="28.41796875" style="49" customWidth="1"/>
    <col min="11527" max="11527" width="26.5234375" style="49" customWidth="1"/>
    <col min="11528" max="11528" width="18.89453125" style="49" customWidth="1"/>
    <col min="11529" max="11776" width="8.89453125" style="49"/>
    <col min="11777" max="11777" width="3.89453125" style="49" bestFit="1" customWidth="1"/>
    <col min="11778" max="11778" width="22.89453125" style="49" customWidth="1"/>
    <col min="11779" max="11779" width="30.41796875" style="49" customWidth="1"/>
    <col min="11780" max="11780" width="22.41796875" style="49" customWidth="1"/>
    <col min="11781" max="11781" width="17.89453125" style="49" bestFit="1" customWidth="1"/>
    <col min="11782" max="11782" width="28.41796875" style="49" customWidth="1"/>
    <col min="11783" max="11783" width="26.5234375" style="49" customWidth="1"/>
    <col min="11784" max="11784" width="18.89453125" style="49" customWidth="1"/>
    <col min="11785" max="12032" width="8.89453125" style="49"/>
    <col min="12033" max="12033" width="3.89453125" style="49" bestFit="1" customWidth="1"/>
    <col min="12034" max="12034" width="22.89453125" style="49" customWidth="1"/>
    <col min="12035" max="12035" width="30.41796875" style="49" customWidth="1"/>
    <col min="12036" max="12036" width="22.41796875" style="49" customWidth="1"/>
    <col min="12037" max="12037" width="17.89453125" style="49" bestFit="1" customWidth="1"/>
    <col min="12038" max="12038" width="28.41796875" style="49" customWidth="1"/>
    <col min="12039" max="12039" width="26.5234375" style="49" customWidth="1"/>
    <col min="12040" max="12040" width="18.89453125" style="49" customWidth="1"/>
    <col min="12041" max="12288" width="8.89453125" style="49"/>
    <col min="12289" max="12289" width="3.89453125" style="49" bestFit="1" customWidth="1"/>
    <col min="12290" max="12290" width="22.89453125" style="49" customWidth="1"/>
    <col min="12291" max="12291" width="30.41796875" style="49" customWidth="1"/>
    <col min="12292" max="12292" width="22.41796875" style="49" customWidth="1"/>
    <col min="12293" max="12293" width="17.89453125" style="49" bestFit="1" customWidth="1"/>
    <col min="12294" max="12294" width="28.41796875" style="49" customWidth="1"/>
    <col min="12295" max="12295" width="26.5234375" style="49" customWidth="1"/>
    <col min="12296" max="12296" width="18.89453125" style="49" customWidth="1"/>
    <col min="12297" max="12544" width="8.89453125" style="49"/>
    <col min="12545" max="12545" width="3.89453125" style="49" bestFit="1" customWidth="1"/>
    <col min="12546" max="12546" width="22.89453125" style="49" customWidth="1"/>
    <col min="12547" max="12547" width="30.41796875" style="49" customWidth="1"/>
    <col min="12548" max="12548" width="22.41796875" style="49" customWidth="1"/>
    <col min="12549" max="12549" width="17.89453125" style="49" bestFit="1" customWidth="1"/>
    <col min="12550" max="12550" width="28.41796875" style="49" customWidth="1"/>
    <col min="12551" max="12551" width="26.5234375" style="49" customWidth="1"/>
    <col min="12552" max="12552" width="18.89453125" style="49" customWidth="1"/>
    <col min="12553" max="12800" width="8.89453125" style="49"/>
    <col min="12801" max="12801" width="3.89453125" style="49" bestFit="1" customWidth="1"/>
    <col min="12802" max="12802" width="22.89453125" style="49" customWidth="1"/>
    <col min="12803" max="12803" width="30.41796875" style="49" customWidth="1"/>
    <col min="12804" max="12804" width="22.41796875" style="49" customWidth="1"/>
    <col min="12805" max="12805" width="17.89453125" style="49" bestFit="1" customWidth="1"/>
    <col min="12806" max="12806" width="28.41796875" style="49" customWidth="1"/>
    <col min="12807" max="12807" width="26.5234375" style="49" customWidth="1"/>
    <col min="12808" max="12808" width="18.89453125" style="49" customWidth="1"/>
    <col min="12809" max="13056" width="8.89453125" style="49"/>
    <col min="13057" max="13057" width="3.89453125" style="49" bestFit="1" customWidth="1"/>
    <col min="13058" max="13058" width="22.89453125" style="49" customWidth="1"/>
    <col min="13059" max="13059" width="30.41796875" style="49" customWidth="1"/>
    <col min="13060" max="13060" width="22.41796875" style="49" customWidth="1"/>
    <col min="13061" max="13061" width="17.89453125" style="49" bestFit="1" customWidth="1"/>
    <col min="13062" max="13062" width="28.41796875" style="49" customWidth="1"/>
    <col min="13063" max="13063" width="26.5234375" style="49" customWidth="1"/>
    <col min="13064" max="13064" width="18.89453125" style="49" customWidth="1"/>
    <col min="13065" max="13312" width="8.89453125" style="49"/>
    <col min="13313" max="13313" width="3.89453125" style="49" bestFit="1" customWidth="1"/>
    <col min="13314" max="13314" width="22.89453125" style="49" customWidth="1"/>
    <col min="13315" max="13315" width="30.41796875" style="49" customWidth="1"/>
    <col min="13316" max="13316" width="22.41796875" style="49" customWidth="1"/>
    <col min="13317" max="13317" width="17.89453125" style="49" bestFit="1" customWidth="1"/>
    <col min="13318" max="13318" width="28.41796875" style="49" customWidth="1"/>
    <col min="13319" max="13319" width="26.5234375" style="49" customWidth="1"/>
    <col min="13320" max="13320" width="18.89453125" style="49" customWidth="1"/>
    <col min="13321" max="13568" width="8.89453125" style="49"/>
    <col min="13569" max="13569" width="3.89453125" style="49" bestFit="1" customWidth="1"/>
    <col min="13570" max="13570" width="22.89453125" style="49" customWidth="1"/>
    <col min="13571" max="13571" width="30.41796875" style="49" customWidth="1"/>
    <col min="13572" max="13572" width="22.41796875" style="49" customWidth="1"/>
    <col min="13573" max="13573" width="17.89453125" style="49" bestFit="1" customWidth="1"/>
    <col min="13574" max="13574" width="28.41796875" style="49" customWidth="1"/>
    <col min="13575" max="13575" width="26.5234375" style="49" customWidth="1"/>
    <col min="13576" max="13576" width="18.89453125" style="49" customWidth="1"/>
    <col min="13577" max="13824" width="8.89453125" style="49"/>
    <col min="13825" max="13825" width="3.89453125" style="49" bestFit="1" customWidth="1"/>
    <col min="13826" max="13826" width="22.89453125" style="49" customWidth="1"/>
    <col min="13827" max="13827" width="30.41796875" style="49" customWidth="1"/>
    <col min="13828" max="13828" width="22.41796875" style="49" customWidth="1"/>
    <col min="13829" max="13829" width="17.89453125" style="49" bestFit="1" customWidth="1"/>
    <col min="13830" max="13830" width="28.41796875" style="49" customWidth="1"/>
    <col min="13831" max="13831" width="26.5234375" style="49" customWidth="1"/>
    <col min="13832" max="13832" width="18.89453125" style="49" customWidth="1"/>
    <col min="13833" max="14080" width="8.89453125" style="49"/>
    <col min="14081" max="14081" width="3.89453125" style="49" bestFit="1" customWidth="1"/>
    <col min="14082" max="14082" width="22.89453125" style="49" customWidth="1"/>
    <col min="14083" max="14083" width="30.41796875" style="49" customWidth="1"/>
    <col min="14084" max="14084" width="22.41796875" style="49" customWidth="1"/>
    <col min="14085" max="14085" width="17.89453125" style="49" bestFit="1" customWidth="1"/>
    <col min="14086" max="14086" width="28.41796875" style="49" customWidth="1"/>
    <col min="14087" max="14087" width="26.5234375" style="49" customWidth="1"/>
    <col min="14088" max="14088" width="18.89453125" style="49" customWidth="1"/>
    <col min="14089" max="14336" width="8.89453125" style="49"/>
    <col min="14337" max="14337" width="3.89453125" style="49" bestFit="1" customWidth="1"/>
    <col min="14338" max="14338" width="22.89453125" style="49" customWidth="1"/>
    <col min="14339" max="14339" width="30.41796875" style="49" customWidth="1"/>
    <col min="14340" max="14340" width="22.41796875" style="49" customWidth="1"/>
    <col min="14341" max="14341" width="17.89453125" style="49" bestFit="1" customWidth="1"/>
    <col min="14342" max="14342" width="28.41796875" style="49" customWidth="1"/>
    <col min="14343" max="14343" width="26.5234375" style="49" customWidth="1"/>
    <col min="14344" max="14344" width="18.89453125" style="49" customWidth="1"/>
    <col min="14345" max="14592" width="8.89453125" style="49"/>
    <col min="14593" max="14593" width="3.89453125" style="49" bestFit="1" customWidth="1"/>
    <col min="14594" max="14594" width="22.89453125" style="49" customWidth="1"/>
    <col min="14595" max="14595" width="30.41796875" style="49" customWidth="1"/>
    <col min="14596" max="14596" width="22.41796875" style="49" customWidth="1"/>
    <col min="14597" max="14597" width="17.89453125" style="49" bestFit="1" customWidth="1"/>
    <col min="14598" max="14598" width="28.41796875" style="49" customWidth="1"/>
    <col min="14599" max="14599" width="26.5234375" style="49" customWidth="1"/>
    <col min="14600" max="14600" width="18.89453125" style="49" customWidth="1"/>
    <col min="14601" max="14848" width="8.89453125" style="49"/>
    <col min="14849" max="14849" width="3.89453125" style="49" bestFit="1" customWidth="1"/>
    <col min="14850" max="14850" width="22.89453125" style="49" customWidth="1"/>
    <col min="14851" max="14851" width="30.41796875" style="49" customWidth="1"/>
    <col min="14852" max="14852" width="22.41796875" style="49" customWidth="1"/>
    <col min="14853" max="14853" width="17.89453125" style="49" bestFit="1" customWidth="1"/>
    <col min="14854" max="14854" width="28.41796875" style="49" customWidth="1"/>
    <col min="14855" max="14855" width="26.5234375" style="49" customWidth="1"/>
    <col min="14856" max="14856" width="18.89453125" style="49" customWidth="1"/>
    <col min="14857" max="15104" width="8.89453125" style="49"/>
    <col min="15105" max="15105" width="3.89453125" style="49" bestFit="1" customWidth="1"/>
    <col min="15106" max="15106" width="22.89453125" style="49" customWidth="1"/>
    <col min="15107" max="15107" width="30.41796875" style="49" customWidth="1"/>
    <col min="15108" max="15108" width="22.41796875" style="49" customWidth="1"/>
    <col min="15109" max="15109" width="17.89453125" style="49" bestFit="1" customWidth="1"/>
    <col min="15110" max="15110" width="28.41796875" style="49" customWidth="1"/>
    <col min="15111" max="15111" width="26.5234375" style="49" customWidth="1"/>
    <col min="15112" max="15112" width="18.89453125" style="49" customWidth="1"/>
    <col min="15113" max="15360" width="8.89453125" style="49"/>
    <col min="15361" max="15361" width="3.89453125" style="49" bestFit="1" customWidth="1"/>
    <col min="15362" max="15362" width="22.89453125" style="49" customWidth="1"/>
    <col min="15363" max="15363" width="30.41796875" style="49" customWidth="1"/>
    <col min="15364" max="15364" width="22.41796875" style="49" customWidth="1"/>
    <col min="15365" max="15365" width="17.89453125" style="49" bestFit="1" customWidth="1"/>
    <col min="15366" max="15366" width="28.41796875" style="49" customWidth="1"/>
    <col min="15367" max="15367" width="26.5234375" style="49" customWidth="1"/>
    <col min="15368" max="15368" width="18.89453125" style="49" customWidth="1"/>
    <col min="15369" max="15616" width="8.89453125" style="49"/>
    <col min="15617" max="15617" width="3.89453125" style="49" bestFit="1" customWidth="1"/>
    <col min="15618" max="15618" width="22.89453125" style="49" customWidth="1"/>
    <col min="15619" max="15619" width="30.41796875" style="49" customWidth="1"/>
    <col min="15620" max="15620" width="22.41796875" style="49" customWidth="1"/>
    <col min="15621" max="15621" width="17.89453125" style="49" bestFit="1" customWidth="1"/>
    <col min="15622" max="15622" width="28.41796875" style="49" customWidth="1"/>
    <col min="15623" max="15623" width="26.5234375" style="49" customWidth="1"/>
    <col min="15624" max="15624" width="18.89453125" style="49" customWidth="1"/>
    <col min="15625" max="15872" width="8.89453125" style="49"/>
    <col min="15873" max="15873" width="3.89453125" style="49" bestFit="1" customWidth="1"/>
    <col min="15874" max="15874" width="22.89453125" style="49" customWidth="1"/>
    <col min="15875" max="15875" width="30.41796875" style="49" customWidth="1"/>
    <col min="15876" max="15876" width="22.41796875" style="49" customWidth="1"/>
    <col min="15877" max="15877" width="17.89453125" style="49" bestFit="1" customWidth="1"/>
    <col min="15878" max="15878" width="28.41796875" style="49" customWidth="1"/>
    <col min="15879" max="15879" width="26.5234375" style="49" customWidth="1"/>
    <col min="15880" max="15880" width="18.89453125" style="49" customWidth="1"/>
    <col min="15881" max="16128" width="8.89453125" style="49"/>
    <col min="16129" max="16129" width="3.89453125" style="49" bestFit="1" customWidth="1"/>
    <col min="16130" max="16130" width="22.89453125" style="49" customWidth="1"/>
    <col min="16131" max="16131" width="30.41796875" style="49" customWidth="1"/>
    <col min="16132" max="16132" width="22.41796875" style="49" customWidth="1"/>
    <col min="16133" max="16133" width="17.89453125" style="49" bestFit="1" customWidth="1"/>
    <col min="16134" max="16134" width="28.41796875" style="49" customWidth="1"/>
    <col min="16135" max="16135" width="26.5234375" style="49" customWidth="1"/>
    <col min="16136" max="16136" width="18.89453125" style="49" customWidth="1"/>
    <col min="16137" max="16384" width="8.89453125" style="49"/>
  </cols>
  <sheetData>
    <row r="1" spans="1:21" ht="13.2" thickBot="1" x14ac:dyDescent="0.55000000000000004">
      <c r="C1" s="632" t="s">
        <v>307</v>
      </c>
    </row>
    <row r="2" spans="1:21" s="50" customFormat="1" ht="26.1" thickBot="1" x14ac:dyDescent="1">
      <c r="A2" s="634"/>
      <c r="B2" s="635" t="s">
        <v>364</v>
      </c>
      <c r="C2" s="636"/>
      <c r="D2" s="636"/>
      <c r="E2" s="636"/>
      <c r="F2" s="636"/>
      <c r="G2" s="636"/>
      <c r="H2" s="636"/>
      <c r="I2" s="637"/>
      <c r="J2" s="634"/>
      <c r="K2" s="634"/>
      <c r="L2" s="634"/>
      <c r="M2" s="634"/>
      <c r="N2" s="634"/>
      <c r="O2" s="634"/>
      <c r="P2" s="634"/>
      <c r="Q2" s="634"/>
      <c r="R2" s="634"/>
      <c r="S2" s="634"/>
      <c r="T2" s="634"/>
      <c r="U2" s="634"/>
    </row>
    <row r="3" spans="1:21" ht="58.8" thickBot="1" x14ac:dyDescent="0.55000000000000004">
      <c r="B3" s="638"/>
      <c r="C3" s="639" t="s">
        <v>308</v>
      </c>
      <c r="D3" s="640" t="s">
        <v>309</v>
      </c>
      <c r="E3" s="640" t="s">
        <v>310</v>
      </c>
      <c r="F3" s="640" t="s">
        <v>311</v>
      </c>
      <c r="G3" s="641" t="s">
        <v>312</v>
      </c>
      <c r="H3" s="641" t="s">
        <v>313</v>
      </c>
      <c r="I3" s="673" t="s">
        <v>314</v>
      </c>
    </row>
    <row r="4" spans="1:21" s="117" customFormat="1" ht="13.2" thickBot="1" x14ac:dyDescent="0.55000000000000004">
      <c r="A4" s="632"/>
      <c r="B4" s="661"/>
      <c r="C4" s="645" t="s">
        <v>316</v>
      </c>
      <c r="D4" s="674"/>
      <c r="E4" s="674"/>
      <c r="F4" s="632"/>
      <c r="G4" s="647"/>
      <c r="H4" s="674"/>
      <c r="I4" s="675"/>
      <c r="J4" s="632"/>
      <c r="K4" s="632"/>
      <c r="L4" s="632"/>
      <c r="M4" s="632"/>
      <c r="N4" s="632"/>
      <c r="O4" s="632"/>
      <c r="P4" s="632"/>
      <c r="Q4" s="632"/>
      <c r="R4" s="632"/>
      <c r="S4" s="632"/>
      <c r="T4" s="632"/>
      <c r="U4" s="632"/>
    </row>
    <row r="5" spans="1:21" s="117" customFormat="1" ht="14.7" thickBot="1" x14ac:dyDescent="0.55000000000000004">
      <c r="A5" s="632"/>
      <c r="B5" s="649">
        <v>1</v>
      </c>
      <c r="C5" s="118"/>
      <c r="D5" s="118"/>
      <c r="E5" s="118"/>
      <c r="F5" s="676">
        <f>D5*E5</f>
        <v>0</v>
      </c>
      <c r="G5" s="118"/>
      <c r="H5" s="118"/>
      <c r="I5" s="675" t="str">
        <f>IF(F5=0,"Not Filled",IF(AND(F5=50,H5=5),"In the Middle of Everything",IF(AND(H5=5,F5&lt;50),"Between Control &amp; No Action",IF(AND(H5=5,F5&gt;50),"Between Action &amp; Warning",IF(AND(F5=50,H5&lt;5),"Between No Action &amp; Warning",IF(AND(F5=50,H5&gt;5),"Between Control &amp; Action",IF(AND(F5&gt;50,H5&lt;5),"Warning;",IF(AND(F5&gt;50,H5&gt;5),"Action!",IF(AND(F5&lt;50.1,H5&lt;5.1),"No Action'",IF(AND(F5&lt;50.1,H5&gt;5),"Control.",))))))))))</f>
        <v>Not Filled</v>
      </c>
      <c r="J5" s="632"/>
      <c r="K5" s="632"/>
      <c r="L5" s="632"/>
      <c r="M5" s="632"/>
      <c r="N5" s="632"/>
      <c r="O5" s="632"/>
      <c r="P5" s="632"/>
      <c r="Q5" s="632"/>
      <c r="R5" s="632"/>
      <c r="S5" s="632"/>
      <c r="T5" s="632"/>
      <c r="U5" s="632"/>
    </row>
    <row r="6" spans="1:21" s="117" customFormat="1" ht="14.7" thickBot="1" x14ac:dyDescent="0.55000000000000004">
      <c r="A6" s="632"/>
      <c r="B6" s="649">
        <v>2</v>
      </c>
      <c r="C6" s="118"/>
      <c r="D6" s="118"/>
      <c r="E6" s="118"/>
      <c r="F6" s="676">
        <f>D6*E6</f>
        <v>0</v>
      </c>
      <c r="G6" s="118"/>
      <c r="H6" s="118"/>
      <c r="I6" s="675" t="str">
        <f>IF(F6=0,"Not Filled",IF(AND(F6=50,H6=5),"In the Middle of Everything",IF(AND(H6=5,F6&lt;50),"Between Control &amp; No Action",IF(AND(H6=5,F6&gt;50),"Between Action &amp; Warning",IF(AND(F6=50,H6&lt;5),"Between No Action &amp; Warning",IF(AND(F6=50,H6&gt;5),"Between Control &amp; Action",IF(AND(F6&gt;50,H6&lt;5),"Warning;",IF(AND(F6&gt;50,H6&gt;5),"Action!",IF(AND(F6&lt;50.1,H6&lt;5.1),"No Action'",IF(AND(F6&lt;50.1,H6&gt;5),"Control.",))))))))))</f>
        <v>Not Filled</v>
      </c>
      <c r="J6" s="632"/>
      <c r="K6" s="632"/>
      <c r="L6" s="632"/>
      <c r="M6" s="632"/>
      <c r="N6" s="632"/>
      <c r="O6" s="632"/>
      <c r="P6" s="632"/>
      <c r="Q6" s="632"/>
      <c r="R6" s="632"/>
      <c r="S6" s="632"/>
      <c r="T6" s="632"/>
      <c r="U6" s="632"/>
    </row>
    <row r="7" spans="1:21" s="117" customFormat="1" ht="14.7" thickBot="1" x14ac:dyDescent="0.55000000000000004">
      <c r="A7" s="632"/>
      <c r="B7" s="649">
        <v>3</v>
      </c>
      <c r="C7" s="118"/>
      <c r="D7" s="118"/>
      <c r="E7" s="118"/>
      <c r="F7" s="676">
        <f t="shared" ref="F7:F9" si="0">D7*E7</f>
        <v>0</v>
      </c>
      <c r="G7" s="118"/>
      <c r="H7" s="118"/>
      <c r="I7" s="675" t="str">
        <f>IF(F7=0,"Not Filled",IF(AND(F7=50,H7=5),"In the Middle of Everything",IF(AND(H7=5,F7&lt;50),"Between Control &amp; No Action",IF(AND(H7=5,F7&gt;50),"Between Action &amp; Warning",IF(AND(F7=50,H7&lt;5),"Between No Action &amp; Warning",IF(AND(F7=50,H7&gt;5),"Between Control &amp; Action",IF(AND(F7&gt;50,H7&lt;5),"Warning;",IF(AND(F7&gt;50,H7&gt;5),"Action!",IF(AND(F7&lt;50.1,H7&lt;5.1),"No Action'",IF(AND(F7&lt;50.1,H7&gt;5),"Control.",))))))))))</f>
        <v>Not Filled</v>
      </c>
      <c r="J7" s="632"/>
      <c r="K7" s="632"/>
      <c r="L7" s="632"/>
      <c r="M7" s="632"/>
      <c r="N7" s="632"/>
      <c r="O7" s="632"/>
      <c r="P7" s="632"/>
      <c r="Q7" s="632"/>
      <c r="R7" s="632"/>
      <c r="S7" s="632"/>
      <c r="T7" s="632"/>
      <c r="U7" s="632"/>
    </row>
    <row r="8" spans="1:21" s="117" customFormat="1" ht="14.7" thickBot="1" x14ac:dyDescent="0.55000000000000004">
      <c r="A8" s="632"/>
      <c r="B8" s="649">
        <v>4</v>
      </c>
      <c r="C8" s="118"/>
      <c r="D8" s="118"/>
      <c r="E8" s="118"/>
      <c r="F8" s="676">
        <f t="shared" si="0"/>
        <v>0</v>
      </c>
      <c r="G8" s="118"/>
      <c r="H8" s="118"/>
      <c r="I8" s="675" t="str">
        <f>IF(F8=0,"Not Filled",IF(AND(F8=50,H8=5),"In the Middle of Everything",IF(AND(H8=5,F8&lt;50),"Between Control &amp; No Action",IF(AND(H8=5,F8&gt;50),"Between Action &amp; Warning",IF(AND(F8=50,H8&lt;5),"Between No Action &amp; Warning",IF(AND(F8=50,H8&gt;5),"Between Control &amp; Action",IF(AND(F8&gt;50,H8&lt;5),"Warning;",IF(AND(F8&gt;50,H8&gt;5),"Action!",IF(AND(F8&lt;50.1,H8&lt;5.1),"No Action'",IF(AND(F8&lt;50.1,H8&gt;5),"Control.",))))))))))</f>
        <v>Not Filled</v>
      </c>
      <c r="J8" s="632"/>
      <c r="K8" s="632"/>
      <c r="L8" s="632"/>
      <c r="M8" s="632"/>
      <c r="N8" s="632"/>
      <c r="O8" s="632"/>
      <c r="P8" s="632"/>
      <c r="Q8" s="632"/>
      <c r="R8" s="632"/>
      <c r="S8" s="632"/>
      <c r="T8" s="632"/>
      <c r="U8" s="632"/>
    </row>
    <row r="9" spans="1:21" s="117" customFormat="1" ht="14.7" thickBot="1" x14ac:dyDescent="0.55000000000000004">
      <c r="A9" s="632"/>
      <c r="B9" s="649">
        <v>5</v>
      </c>
      <c r="C9" s="118"/>
      <c r="D9" s="118"/>
      <c r="E9" s="118"/>
      <c r="F9" s="676">
        <f t="shared" si="0"/>
        <v>0</v>
      </c>
      <c r="G9" s="118"/>
      <c r="H9" s="118"/>
      <c r="I9" s="675" t="str">
        <f>IF(F9=0,"Not Filled",IF(AND(F9=50,H9=5),"In the Middle of Everything",IF(AND(H9=5,F9&lt;50),"Between Control &amp; No Action",IF(AND(H9=5,F9&gt;50),"Between Action &amp; Warning",IF(AND(F9=50,H9&lt;5),"Between No Action &amp; Warning",IF(AND(F9=50,H9&gt;5),"Between Control &amp; Action",IF(AND(F9&gt;50,H9&lt;5),"Warning;",IF(AND(F9&gt;50,H9&gt;5),"Action!",IF(AND(F9&lt;50.1,H9&lt;5.1),"No Action'",IF(AND(F9&lt;50.1,H9&gt;5),"Control.",))))))))))</f>
        <v>Not Filled</v>
      </c>
      <c r="J9" s="632"/>
      <c r="K9" s="632"/>
      <c r="L9" s="632"/>
      <c r="M9" s="632"/>
      <c r="N9" s="632"/>
      <c r="O9" s="632"/>
      <c r="P9" s="632"/>
      <c r="Q9" s="632"/>
      <c r="R9" s="632"/>
      <c r="S9" s="632"/>
      <c r="T9" s="632"/>
      <c r="U9" s="632"/>
    </row>
    <row r="10" spans="1:21" s="117" customFormat="1" ht="13.2" thickBot="1" x14ac:dyDescent="0.55000000000000004">
      <c r="A10" s="632"/>
      <c r="B10" s="649"/>
      <c r="C10" s="677" t="s">
        <v>366</v>
      </c>
      <c r="D10" s="678"/>
      <c r="E10" s="679"/>
      <c r="F10" s="680"/>
      <c r="G10" s="647"/>
      <c r="H10" s="674"/>
      <c r="I10" s="675"/>
      <c r="J10" s="632"/>
      <c r="K10" s="632"/>
      <c r="L10" s="632"/>
      <c r="M10" s="632"/>
      <c r="N10" s="632"/>
      <c r="O10" s="632"/>
      <c r="P10" s="632"/>
      <c r="Q10" s="632"/>
      <c r="R10" s="632"/>
      <c r="S10" s="632"/>
      <c r="T10" s="632"/>
      <c r="U10" s="632"/>
    </row>
    <row r="11" spans="1:21" s="117" customFormat="1" ht="14.7" thickBot="1" x14ac:dyDescent="0.55000000000000004">
      <c r="A11" s="632"/>
      <c r="B11" s="649">
        <v>6</v>
      </c>
      <c r="C11" s="118"/>
      <c r="D11" s="118"/>
      <c r="E11" s="118"/>
      <c r="F11" s="681">
        <f>D11*E11</f>
        <v>0</v>
      </c>
      <c r="G11" s="118"/>
      <c r="H11" s="118"/>
      <c r="I11" s="675" t="str">
        <f>IF(F11=0,"Not Filled",IF(AND(F11=50,H11=5),"In the Middle of Everything",IF(AND(H11=5,F11&lt;50),"Between Control &amp; No Action",IF(AND(H11=5,F11&gt;50),"Between Action &amp; Warning",IF(AND(F11=50,H11&lt;5),"Between No Action &amp; Warning",IF(AND(F11=50,H11&gt;5),"Between Control &amp; Action",IF(AND(F11&gt;50,H11&lt;5),"Warning;",IF(AND(F11&gt;50,H11&gt;5),"Action!",IF(AND(F11&lt;50.1,H11&lt;5.1),"No Action'",IF(AND(F11&lt;50.1,H11&gt;5),"Control.",))))))))))</f>
        <v>Not Filled</v>
      </c>
      <c r="J11" s="632"/>
      <c r="K11" s="632"/>
      <c r="L11" s="632"/>
      <c r="M11" s="632"/>
      <c r="N11" s="632"/>
      <c r="O11" s="632"/>
      <c r="P11" s="632"/>
      <c r="Q11" s="632"/>
      <c r="R11" s="632"/>
      <c r="S11" s="632"/>
      <c r="T11" s="632"/>
      <c r="U11" s="632"/>
    </row>
    <row r="12" spans="1:21" s="117" customFormat="1" ht="14.7" thickBot="1" x14ac:dyDescent="0.55000000000000004">
      <c r="A12" s="632"/>
      <c r="B12" s="649">
        <v>7</v>
      </c>
      <c r="C12" s="118"/>
      <c r="D12" s="118"/>
      <c r="E12" s="118"/>
      <c r="F12" s="681">
        <f t="shared" ref="F12:F15" si="1">D12*E12</f>
        <v>0</v>
      </c>
      <c r="G12" s="118"/>
      <c r="H12" s="118"/>
      <c r="I12" s="675" t="str">
        <f>IF(F12=0,"Not Filled",IF(AND(F12=50,H12=5),"In the Middle of Everything",IF(AND(H12=5,F12&lt;50),"Between Control &amp; No Action",IF(AND(H12=5,F12&gt;50),"Between Action &amp; Warning",IF(AND(F12=50,H12&lt;5),"Between No Action &amp; Warning",IF(AND(F12=50,H12&gt;5),"Between Control &amp; Action",IF(AND(F12&gt;50,H12&lt;5),"Warning;",IF(AND(F12&gt;50,H12&gt;5),"Action!",IF(AND(F12&lt;50.1,H12&lt;5.1),"No Action'",IF(AND(F12&lt;50.1,H12&gt;5),"Control.",))))))))))</f>
        <v>Not Filled</v>
      </c>
      <c r="J12" s="632"/>
      <c r="K12" s="632"/>
      <c r="L12" s="632"/>
      <c r="M12" s="632"/>
      <c r="N12" s="632"/>
      <c r="O12" s="632"/>
      <c r="P12" s="632"/>
      <c r="Q12" s="632"/>
      <c r="R12" s="632"/>
      <c r="S12" s="632"/>
      <c r="T12" s="632"/>
      <c r="U12" s="632"/>
    </row>
    <row r="13" spans="1:21" s="117" customFormat="1" ht="14.7" thickBot="1" x14ac:dyDescent="0.55000000000000004">
      <c r="A13" s="632"/>
      <c r="B13" s="649">
        <v>8</v>
      </c>
      <c r="C13" s="118"/>
      <c r="D13" s="118"/>
      <c r="E13" s="118"/>
      <c r="F13" s="681">
        <f t="shared" si="1"/>
        <v>0</v>
      </c>
      <c r="G13" s="118"/>
      <c r="H13" s="118"/>
      <c r="I13" s="675" t="str">
        <f>IF(F13=0,"Not Filled",IF(AND(F13=50,H13=5),"In the Middle of Everything",IF(AND(H13=5,F13&lt;50),"Between Control &amp; No Action",IF(AND(H13=5,F13&gt;50),"Between Action &amp; Warning",IF(AND(F13=50,H13&lt;5),"Between No Action &amp; Warning",IF(AND(F13=50,H13&gt;5),"Between Control &amp; Action",IF(AND(F13&gt;50,H13&lt;5),"Warning;",IF(AND(F13&gt;50,H13&gt;5),"Action!",IF(AND(F13&lt;50.1,H13&lt;5.1),"No Action'",IF(AND(F13&lt;50.1,H13&gt;5),"Control.",))))))))))</f>
        <v>Not Filled</v>
      </c>
      <c r="J13" s="632"/>
      <c r="K13" s="632"/>
      <c r="L13" s="632"/>
      <c r="M13" s="632"/>
      <c r="N13" s="632"/>
      <c r="O13" s="632"/>
      <c r="P13" s="632"/>
      <c r="Q13" s="632"/>
      <c r="R13" s="632"/>
      <c r="S13" s="632"/>
      <c r="T13" s="632"/>
      <c r="U13" s="632"/>
    </row>
    <row r="14" spans="1:21" s="117" customFormat="1" ht="14.7" thickBot="1" x14ac:dyDescent="0.55000000000000004">
      <c r="A14" s="632"/>
      <c r="B14" s="649">
        <v>9</v>
      </c>
      <c r="C14" s="118"/>
      <c r="D14" s="118"/>
      <c r="E14" s="118"/>
      <c r="F14" s="681">
        <f t="shared" si="1"/>
        <v>0</v>
      </c>
      <c r="G14" s="118"/>
      <c r="H14" s="118"/>
      <c r="I14" s="675" t="str">
        <f>IF(F14=0,"Not Filled",IF(AND(F14=50,H14=5),"In the Middle of Everything",IF(AND(H14=5,F14&lt;50),"Between Control &amp; No Action",IF(AND(H14=5,F14&gt;50),"Between Action &amp; Warning",IF(AND(F14=50,H14&lt;5),"Between No Action &amp; Warning",IF(AND(F14=50,H14&gt;5),"Between Control &amp; Action",IF(AND(F14&gt;50,H14&lt;5),"Warning;",IF(AND(F14&gt;50,H14&gt;5),"Action!",IF(AND(F14&lt;50.1,H14&lt;5.1),"No Action'",IF(AND(F14&lt;50.1,H14&gt;5),"Control.",))))))))))</f>
        <v>Not Filled</v>
      </c>
      <c r="J14" s="632"/>
      <c r="K14" s="632"/>
      <c r="L14" s="632"/>
      <c r="M14" s="632"/>
      <c r="N14" s="632"/>
      <c r="O14" s="632"/>
      <c r="P14" s="632"/>
      <c r="Q14" s="632"/>
      <c r="R14" s="632"/>
      <c r="S14" s="632"/>
      <c r="T14" s="632"/>
      <c r="U14" s="632"/>
    </row>
    <row r="15" spans="1:21" s="117" customFormat="1" ht="14.7" thickBot="1" x14ac:dyDescent="0.55000000000000004">
      <c r="A15" s="632"/>
      <c r="B15" s="649">
        <v>10</v>
      </c>
      <c r="C15" s="118"/>
      <c r="D15" s="118"/>
      <c r="E15" s="118"/>
      <c r="F15" s="682">
        <f t="shared" si="1"/>
        <v>0</v>
      </c>
      <c r="G15" s="118"/>
      <c r="H15" s="118"/>
      <c r="I15" s="675" t="str">
        <f>IF(F15=0,"Not Filled",IF(AND(F15=50,H15=5),"In the Middle of Everything",IF(AND(H15=5,F15&lt;50),"Between Control &amp; No Action",IF(AND(H15=5,F15&gt;50),"Between Action &amp; Warning",IF(AND(F15=50,H15&lt;5),"Between No Action &amp; Warning",IF(AND(F15=50,H15&gt;5),"Between Control &amp; Action",IF(AND(F15&gt;50,H15&lt;5),"Warning;",IF(AND(F15&gt;50,H15&gt;5),"Action!",IF(AND(F15&lt;50.1,H15&lt;5.1),"No Action'",IF(AND(F15&lt;50.1,H15&gt;5),"Control.",))))))))))</f>
        <v>Not Filled</v>
      </c>
      <c r="J15" s="632"/>
      <c r="K15" s="632"/>
      <c r="L15" s="632"/>
      <c r="M15" s="632"/>
      <c r="N15" s="632"/>
      <c r="O15" s="632"/>
      <c r="P15" s="632"/>
      <c r="Q15" s="632"/>
      <c r="R15" s="632"/>
      <c r="S15" s="632"/>
      <c r="T15" s="632"/>
      <c r="U15" s="632"/>
    </row>
    <row r="16" spans="1:21" s="117" customFormat="1" ht="13.2" thickBot="1" x14ac:dyDescent="0.55000000000000004">
      <c r="A16" s="632"/>
      <c r="B16" s="661"/>
      <c r="C16" s="665" t="s">
        <v>317</v>
      </c>
      <c r="D16" s="678"/>
      <c r="E16" s="679"/>
      <c r="F16" s="680"/>
      <c r="G16" s="647"/>
      <c r="H16" s="683"/>
      <c r="I16" s="675"/>
      <c r="J16" s="632"/>
      <c r="K16" s="632"/>
      <c r="L16" s="632"/>
      <c r="M16" s="632"/>
      <c r="N16" s="632"/>
      <c r="O16" s="632"/>
      <c r="P16" s="632"/>
      <c r="Q16" s="632"/>
      <c r="R16" s="632"/>
      <c r="S16" s="632"/>
      <c r="T16" s="632"/>
      <c r="U16" s="632"/>
    </row>
    <row r="17" spans="1:21" s="117" customFormat="1" ht="14.7" thickBot="1" x14ac:dyDescent="0.55000000000000004">
      <c r="A17" s="632"/>
      <c r="B17" s="649">
        <v>11</v>
      </c>
      <c r="C17" s="118"/>
      <c r="D17" s="118"/>
      <c r="E17" s="118"/>
      <c r="F17" s="681">
        <f>D17*E17</f>
        <v>0</v>
      </c>
      <c r="G17" s="118"/>
      <c r="H17" s="118"/>
      <c r="I17" s="675" t="str">
        <f>IF(F17=0,"Not Filled",IF(AND(F17=50,H17=5),"In the Middle of Everything",IF(AND(H17=5,F17&lt;50),"Between Control &amp; No Action",IF(AND(H17=5,F17&gt;50),"Between Action &amp; Warning",IF(AND(F17=50,H17&lt;5),"Between No Action &amp; Warning",IF(AND(F17=50,H17&gt;5),"Between Control &amp; Action",IF(AND(F17&gt;50,H17&lt;5),"Warning;",IF(AND(F17&gt;50,H17&gt;5),"Action!",IF(AND(F17&lt;50.1,H17&lt;5.1),"No Action'",IF(AND(F17&lt;50.1,H17&gt;5),"Control.",))))))))))</f>
        <v>Not Filled</v>
      </c>
      <c r="J17" s="632"/>
      <c r="K17" s="632"/>
      <c r="L17" s="632"/>
      <c r="M17" s="632"/>
      <c r="N17" s="632"/>
      <c r="O17" s="632"/>
      <c r="P17" s="632"/>
      <c r="Q17" s="632"/>
      <c r="R17" s="632"/>
      <c r="S17" s="632"/>
      <c r="T17" s="632"/>
      <c r="U17" s="632"/>
    </row>
    <row r="18" spans="1:21" s="117" customFormat="1" ht="14.7" thickBot="1" x14ac:dyDescent="0.55000000000000004">
      <c r="A18" s="632"/>
      <c r="B18" s="649">
        <v>12</v>
      </c>
      <c r="C18" s="118"/>
      <c r="D18" s="118"/>
      <c r="E18" s="118"/>
      <c r="F18" s="681">
        <f t="shared" ref="F18:F21" si="2">D18*E18</f>
        <v>0</v>
      </c>
      <c r="G18" s="118"/>
      <c r="H18" s="118"/>
      <c r="I18" s="675" t="str">
        <f>IF(F18=0,"Not Filled",IF(AND(F18=50,H18=5),"In the Middle of Everything",IF(AND(H18=5,F18&lt;50),"Between Control &amp; No Action",IF(AND(H18=5,F18&gt;50),"Between Action &amp; Warning",IF(AND(F18=50,H18&lt;5),"Between No Action &amp; Warning",IF(AND(F18=50,H18&gt;5),"Between Control &amp; Action",IF(AND(F18&gt;50,H18&lt;5),"Warning;",IF(AND(F18&gt;50,H18&gt;5),"Action!",IF(AND(F18&lt;50.1,H18&lt;5.1),"No Action'",IF(AND(F18&lt;50.1,H18&gt;5),"Control.",))))))))))</f>
        <v>Not Filled</v>
      </c>
      <c r="J18" s="632"/>
      <c r="K18" s="632"/>
      <c r="L18" s="632"/>
      <c r="M18" s="632"/>
      <c r="N18" s="632"/>
      <c r="O18" s="632"/>
      <c r="P18" s="632"/>
      <c r="Q18" s="632"/>
      <c r="R18" s="632"/>
      <c r="S18" s="632"/>
      <c r="T18" s="632"/>
      <c r="U18" s="632"/>
    </row>
    <row r="19" spans="1:21" s="117" customFormat="1" ht="14.7" thickBot="1" x14ac:dyDescent="0.55000000000000004">
      <c r="A19" s="632"/>
      <c r="B19" s="649">
        <v>13</v>
      </c>
      <c r="C19" s="118"/>
      <c r="D19" s="118"/>
      <c r="E19" s="118"/>
      <c r="F19" s="681">
        <f t="shared" si="2"/>
        <v>0</v>
      </c>
      <c r="G19" s="118"/>
      <c r="H19" s="118"/>
      <c r="I19" s="675" t="str">
        <f>IF(F19=0,"Not Filled",IF(AND(F19=50,H19=5),"In the Middle of Everything",IF(AND(H19=5,F19&lt;50),"Between Control &amp; No Action",IF(AND(H19=5,F19&gt;50),"Between Action &amp; Warning",IF(AND(F19=50,H19&lt;5),"Between No Action &amp; Warning",IF(AND(F19=50,H19&gt;5),"Between Control &amp; Action",IF(AND(F19&gt;50,H19&lt;5),"Warning;",IF(AND(F19&gt;50,H19&gt;5),"Action!",IF(AND(F19&lt;50.1,H19&lt;5.1),"No Action'",IF(AND(F19&lt;50.1,H19&gt;5),"Control.",))))))))))</f>
        <v>Not Filled</v>
      </c>
      <c r="J19" s="651"/>
      <c r="K19" s="632"/>
      <c r="L19" s="632"/>
      <c r="M19" s="632"/>
      <c r="N19" s="632"/>
      <c r="O19" s="632"/>
      <c r="P19" s="632"/>
      <c r="Q19" s="632"/>
      <c r="R19" s="632"/>
      <c r="S19" s="632"/>
      <c r="T19" s="632"/>
      <c r="U19" s="632"/>
    </row>
    <row r="20" spans="1:21" s="117" customFormat="1" ht="14.7" thickBot="1" x14ac:dyDescent="0.55000000000000004">
      <c r="A20" s="632"/>
      <c r="B20" s="649">
        <v>14</v>
      </c>
      <c r="C20" s="118"/>
      <c r="D20" s="118"/>
      <c r="E20" s="118"/>
      <c r="F20" s="681">
        <f t="shared" si="2"/>
        <v>0</v>
      </c>
      <c r="G20" s="118"/>
      <c r="H20" s="118"/>
      <c r="I20" s="675" t="str">
        <f>IF(F20=0,"Not Filled",IF(AND(F20=50,H20=5),"In the Middle of Everything",IF(AND(H20=5,F20&lt;50),"Between Control &amp; No Action",IF(AND(H20=5,F20&gt;50),"Between Action &amp; Warning",IF(AND(F20=50,H20&lt;5),"Between No Action &amp; Warning",IF(AND(F20=50,H20&gt;5),"Between Control &amp; Action",IF(AND(F20&gt;50,H20&lt;5),"Warning;",IF(AND(F20&gt;50,H20&gt;5),"Action!",IF(AND(F20&lt;50.1,H20&lt;5.1),"No Action'",IF(AND(F20&lt;50.1,H20&gt;5),"Control.",))))))))))</f>
        <v>Not Filled</v>
      </c>
      <c r="J20" s="651"/>
      <c r="K20" s="632"/>
      <c r="L20" s="632"/>
      <c r="M20" s="632"/>
      <c r="N20" s="632"/>
      <c r="O20" s="632"/>
      <c r="P20" s="632"/>
      <c r="Q20" s="632"/>
      <c r="R20" s="632"/>
      <c r="S20" s="632"/>
      <c r="T20" s="632"/>
      <c r="U20" s="632"/>
    </row>
    <row r="21" spans="1:21" s="117" customFormat="1" ht="14.7" thickBot="1" x14ac:dyDescent="0.55000000000000004">
      <c r="A21" s="632"/>
      <c r="B21" s="649">
        <v>15</v>
      </c>
      <c r="C21" s="118"/>
      <c r="D21" s="118"/>
      <c r="E21" s="118"/>
      <c r="F21" s="682">
        <f t="shared" si="2"/>
        <v>0</v>
      </c>
      <c r="G21" s="118"/>
      <c r="H21" s="118"/>
      <c r="I21" s="675" t="str">
        <f>IF(F21=0,"Not Filled",IF(AND(F21=50,H21=5),"In the Middle of Everything",IF(AND(H21=5,F21&lt;50),"Between Control &amp; No Action",IF(AND(H21=5,F21&gt;50),"Between Action &amp; Warning",IF(AND(F21=50,H21&lt;5),"Between No Action &amp; Warning",IF(AND(F21=50,H21&gt;5),"Between Control &amp; Action",IF(AND(F21&gt;50,H21&lt;5),"Warning;",IF(AND(F21&gt;50,H21&gt;5),"Action!",IF(AND(F21&lt;50.1,H21&lt;5.1),"No Action'",IF(AND(F21&lt;50.1,H21&gt;5),"Control.",))))))))))</f>
        <v>Not Filled</v>
      </c>
      <c r="J21" s="651"/>
      <c r="K21" s="632"/>
      <c r="L21" s="632"/>
      <c r="M21" s="632"/>
      <c r="N21" s="632"/>
      <c r="O21" s="632"/>
      <c r="P21" s="632"/>
      <c r="Q21" s="632"/>
      <c r="R21" s="632"/>
      <c r="S21" s="632"/>
      <c r="T21" s="632"/>
      <c r="U21" s="632"/>
    </row>
    <row r="22" spans="1:21" s="117" customFormat="1" ht="13.2" thickBot="1" x14ac:dyDescent="0.55000000000000004">
      <c r="A22" s="632"/>
      <c r="B22" s="644"/>
      <c r="C22" s="645" t="s">
        <v>315</v>
      </c>
      <c r="D22" s="678"/>
      <c r="E22" s="679"/>
      <c r="F22" s="632"/>
      <c r="G22" s="647"/>
      <c r="H22" s="646"/>
      <c r="I22" s="661"/>
      <c r="J22" s="651"/>
      <c r="K22" s="632"/>
      <c r="L22" s="632"/>
      <c r="M22" s="632"/>
      <c r="N22" s="632"/>
      <c r="O22" s="632"/>
      <c r="P22" s="632"/>
      <c r="Q22" s="632"/>
      <c r="R22" s="632"/>
      <c r="S22" s="632"/>
      <c r="T22" s="632"/>
      <c r="U22" s="632"/>
    </row>
    <row r="23" spans="1:21" s="117" customFormat="1" ht="14.7" thickBot="1" x14ac:dyDescent="0.55000000000000004">
      <c r="A23" s="632"/>
      <c r="B23" s="649">
        <v>16</v>
      </c>
      <c r="C23" s="118"/>
      <c r="D23" s="118"/>
      <c r="E23" s="118"/>
      <c r="F23" s="681">
        <f>D23*E23</f>
        <v>0</v>
      </c>
      <c r="G23" s="118"/>
      <c r="H23" s="118"/>
      <c r="I23" s="675" t="str">
        <f>IF(F23=0,"Not Filled",IF(AND(F23=50,H23=5),"In the Middle of Everything",IF(AND(H23=5,F23&lt;50),"Between Control &amp; No Action",IF(AND(H23=5,F23&gt;50),"Between Action &amp; Warning",IF(AND(F23=50,H23&lt;5),"Between No Action &amp; Warning",IF(AND(F23=50,H23&gt;5),"Between Control &amp; Action",IF(AND(F23&gt;50,H23&lt;5),"Warning;",IF(AND(F23&gt;50,H23&gt;5),"Action!",IF(AND(F23&lt;50.1,H23&lt;5.1),"No Action'",IF(AND(F23&lt;50.1,H23&gt;5),"Control.",))))))))))</f>
        <v>Not Filled</v>
      </c>
      <c r="J23" s="651"/>
      <c r="K23" s="632"/>
      <c r="L23" s="632"/>
      <c r="M23" s="632"/>
      <c r="N23" s="632"/>
      <c r="O23" s="632"/>
      <c r="P23" s="632"/>
      <c r="Q23" s="632"/>
      <c r="R23" s="632"/>
      <c r="S23" s="632"/>
      <c r="T23" s="632"/>
      <c r="U23" s="632"/>
    </row>
    <row r="24" spans="1:21" s="117" customFormat="1" ht="14.7" thickBot="1" x14ac:dyDescent="0.55000000000000004">
      <c r="A24" s="632"/>
      <c r="B24" s="649">
        <v>17</v>
      </c>
      <c r="C24" s="118"/>
      <c r="D24" s="118"/>
      <c r="E24" s="118"/>
      <c r="F24" s="681">
        <f t="shared" ref="F24:F27" si="3">D24*E24</f>
        <v>0</v>
      </c>
      <c r="G24" s="118"/>
      <c r="H24" s="118"/>
      <c r="I24" s="675" t="str">
        <f>IF(F24=0,"Not Filled",IF(AND(F24=50,H24=5),"In the Middle of Everything",IF(AND(H24=5,F24&lt;50),"Between Control &amp; No Action",IF(AND(H24=5,F24&gt;50),"Between Action &amp; Warning",IF(AND(F24=50,H24&lt;5),"Between No Action &amp; Warning",IF(AND(F24=50,H24&gt;5),"Between Control &amp; Action",IF(AND(F24&gt;50,H24&lt;5),"Warning;",IF(AND(F24&gt;50,H24&gt;5),"Action!",IF(AND(F24&lt;50.1,H24&lt;5.1),"No Action'",IF(AND(F24&lt;50.1,H24&gt;5),"Control.",))))))))))</f>
        <v>Not Filled</v>
      </c>
      <c r="J24" s="651"/>
      <c r="K24" s="632"/>
      <c r="L24" s="632"/>
      <c r="M24" s="632"/>
      <c r="N24" s="632"/>
      <c r="O24" s="632"/>
      <c r="P24" s="632"/>
      <c r="Q24" s="632"/>
      <c r="R24" s="632"/>
      <c r="S24" s="632"/>
      <c r="T24" s="632"/>
      <c r="U24" s="632"/>
    </row>
    <row r="25" spans="1:21" s="117" customFormat="1" ht="14.7" thickBot="1" x14ac:dyDescent="0.55000000000000004">
      <c r="A25" s="632"/>
      <c r="B25" s="649">
        <v>18</v>
      </c>
      <c r="C25" s="118"/>
      <c r="D25" s="118"/>
      <c r="E25" s="118"/>
      <c r="F25" s="681">
        <f t="shared" si="3"/>
        <v>0</v>
      </c>
      <c r="G25" s="118"/>
      <c r="H25" s="118"/>
      <c r="I25" s="675" t="str">
        <f>IF(F25=0,"Not Filled",IF(AND(F25=50,H25=5),"In the Middle of Everything",IF(AND(H25=5,F25&lt;50),"Between Control &amp; No Action",IF(AND(H25=5,F25&gt;50),"Between Action &amp; Warning",IF(AND(F25=50,H25&lt;5),"Between No Action &amp; Warning",IF(AND(F25=50,H25&gt;5),"Between Control &amp; Action",IF(AND(F25&gt;50,H25&lt;5),"Warning;",IF(AND(F25&gt;50,H25&gt;5),"Action!",IF(AND(F25&lt;50.1,H25&lt;5.1),"No Action'",IF(AND(F25&lt;50.1,H25&gt;5),"Control.",))))))))))</f>
        <v>Not Filled</v>
      </c>
      <c r="J25" s="651"/>
      <c r="K25" s="632"/>
      <c r="L25" s="632"/>
      <c r="M25" s="632"/>
      <c r="N25" s="632"/>
      <c r="O25" s="632"/>
      <c r="P25" s="632"/>
      <c r="Q25" s="632"/>
      <c r="R25" s="632"/>
      <c r="S25" s="632"/>
      <c r="T25" s="632"/>
      <c r="U25" s="632"/>
    </row>
    <row r="26" spans="1:21" s="117" customFormat="1" ht="14.7" thickBot="1" x14ac:dyDescent="0.55000000000000004">
      <c r="A26" s="632"/>
      <c r="B26" s="649">
        <v>19</v>
      </c>
      <c r="C26" s="118"/>
      <c r="D26" s="118"/>
      <c r="E26" s="118"/>
      <c r="F26" s="681">
        <f t="shared" si="3"/>
        <v>0</v>
      </c>
      <c r="G26" s="118"/>
      <c r="H26" s="118"/>
      <c r="I26" s="675" t="str">
        <f>IF(F26=0,"Not Filled",IF(AND(F26=50,H26=5),"In the Middle of Everything",IF(AND(H26=5,F26&lt;50),"Between Control &amp; No Action",IF(AND(H26=5,F26&gt;50),"Between Action &amp; Warning",IF(AND(F26=50,H26&lt;5),"Between No Action &amp; Warning",IF(AND(F26=50,H26&gt;5),"Between Control &amp; Action",IF(AND(F26&gt;50,H26&lt;5),"Warning;",IF(AND(F26&gt;50,H26&gt;5),"Action!",IF(AND(F26&lt;50.1,H26&lt;5.1),"No Action'",IF(AND(F26&lt;50.1,H26&gt;5),"Control.",))))))))))</f>
        <v>Not Filled</v>
      </c>
      <c r="J26" s="651"/>
      <c r="K26" s="632"/>
      <c r="L26" s="632"/>
      <c r="M26" s="632"/>
      <c r="N26" s="632"/>
      <c r="O26" s="632"/>
      <c r="P26" s="632"/>
      <c r="Q26" s="632"/>
      <c r="R26" s="632"/>
      <c r="S26" s="632"/>
      <c r="T26" s="632"/>
      <c r="U26" s="632"/>
    </row>
    <row r="27" spans="1:21" s="117" customFormat="1" ht="14.7" thickBot="1" x14ac:dyDescent="0.55000000000000004">
      <c r="A27" s="632"/>
      <c r="B27" s="649">
        <v>20</v>
      </c>
      <c r="C27" s="118"/>
      <c r="D27" s="118"/>
      <c r="E27" s="118"/>
      <c r="F27" s="682">
        <f t="shared" si="3"/>
        <v>0</v>
      </c>
      <c r="G27" s="118"/>
      <c r="H27" s="118"/>
      <c r="I27" s="675" t="str">
        <f>IF(F27=0,"Not Filled",IF(AND(F27=50,H27=5),"In the Middle of Everything",IF(AND(H27=5,F27&lt;50),"Between Control &amp; No Action",IF(AND(H27=5,F27&gt;50),"Between Action &amp; Warning",IF(AND(F27=50,H27&lt;5),"Between No Action &amp; Warning",IF(AND(F27=50,H27&gt;5),"Between Control &amp; Action",IF(AND(F27&gt;50,H27&lt;5),"Warning;",IF(AND(F27&gt;50,H27&gt;5),"Action!",IF(AND(F27&lt;50.1,H27&lt;5.1),"No Action'",IF(AND(F27&lt;50.1,H27&gt;5),"Control.",))))))))))</f>
        <v>Not Filled</v>
      </c>
      <c r="J27" s="651"/>
      <c r="K27" s="632"/>
      <c r="L27" s="632"/>
      <c r="M27" s="632"/>
      <c r="N27" s="632"/>
      <c r="O27" s="632"/>
      <c r="P27" s="632"/>
      <c r="Q27" s="632"/>
      <c r="R27" s="632"/>
      <c r="S27" s="632"/>
      <c r="T27" s="632"/>
      <c r="U27" s="632"/>
    </row>
    <row r="28" spans="1:21" s="117" customFormat="1" ht="13.2" thickBot="1" x14ac:dyDescent="0.55000000000000004">
      <c r="A28" s="632"/>
      <c r="B28" s="649"/>
      <c r="C28" s="665" t="s">
        <v>318</v>
      </c>
      <c r="D28" s="678"/>
      <c r="E28" s="679"/>
      <c r="F28" s="632"/>
      <c r="G28" s="647"/>
      <c r="H28" s="674"/>
      <c r="I28" s="675"/>
      <c r="J28" s="651"/>
      <c r="K28" s="632"/>
      <c r="L28" s="632"/>
      <c r="M28" s="632"/>
      <c r="N28" s="632"/>
      <c r="O28" s="632"/>
      <c r="P28" s="632"/>
      <c r="Q28" s="632"/>
      <c r="R28" s="632"/>
      <c r="S28" s="632"/>
      <c r="T28" s="632"/>
      <c r="U28" s="632"/>
    </row>
    <row r="29" spans="1:21" s="117" customFormat="1" ht="15" customHeight="1" thickBot="1" x14ac:dyDescent="0.75">
      <c r="A29" s="632"/>
      <c r="B29" s="649">
        <v>21</v>
      </c>
      <c r="C29" s="118"/>
      <c r="D29" s="118"/>
      <c r="E29" s="118"/>
      <c r="F29" s="681">
        <f>D29*E29</f>
        <v>0</v>
      </c>
      <c r="G29" s="118"/>
      <c r="H29" s="118"/>
      <c r="I29" s="675" t="str">
        <f t="shared" ref="I29:I39" si="4">IF(F29=0,"Not Filled",IF(AND(F29=50,H29=5),"In the Middle of Everything",IF(AND(H29=5,F29&lt;50),"Between Control &amp; No Action",IF(AND(H29=5,F29&gt;50),"Between Action &amp; Warning",IF(AND(F29=50,H29&lt;5),"Between No Action &amp; Warning",IF(AND(F29=50,H29&gt;5),"Between Control &amp; Action",IF(AND(F29&gt;50,H29&lt;5),"Warning;",IF(AND(F29&gt;50,H29&gt;5),"Action!",IF(AND(F29&lt;50.1,H29&lt;5.1),"No Action'",IF(AND(F29&lt;50.1,H29&gt;5),"Control.",))))))))))</f>
        <v>Not Filled</v>
      </c>
      <c r="J29" s="651"/>
      <c r="K29" s="684" t="s">
        <v>319</v>
      </c>
      <c r="L29" s="685"/>
      <c r="M29" s="632"/>
      <c r="N29" s="632"/>
      <c r="O29" s="632"/>
      <c r="P29" s="632"/>
      <c r="Q29" s="632"/>
      <c r="R29" s="632"/>
      <c r="S29" s="632"/>
      <c r="T29" s="632"/>
      <c r="U29" s="632"/>
    </row>
    <row r="30" spans="1:21" s="117" customFormat="1" ht="14.7" thickBot="1" x14ac:dyDescent="0.55000000000000004">
      <c r="A30" s="632"/>
      <c r="B30" s="649">
        <v>22</v>
      </c>
      <c r="C30" s="118"/>
      <c r="D30" s="118"/>
      <c r="E30" s="118"/>
      <c r="F30" s="681">
        <f t="shared" ref="F30:F33" si="5">D30*E30</f>
        <v>0</v>
      </c>
      <c r="G30" s="118"/>
      <c r="H30" s="118"/>
      <c r="I30" s="675" t="str">
        <f t="shared" si="4"/>
        <v>Not Filled</v>
      </c>
      <c r="J30" s="651"/>
      <c r="K30" s="669" t="s">
        <v>320</v>
      </c>
      <c r="L30" s="669">
        <f>COUNTIF($I$5:$I$39,"*'*")</f>
        <v>0</v>
      </c>
      <c r="M30" s="632"/>
      <c r="N30" s="632"/>
      <c r="O30" s="632"/>
      <c r="P30" s="632"/>
      <c r="Q30" s="632"/>
      <c r="R30" s="632"/>
      <c r="S30" s="632"/>
      <c r="T30" s="632"/>
      <c r="U30" s="632"/>
    </row>
    <row r="31" spans="1:21" s="117" customFormat="1" ht="14.7" thickBot="1" x14ac:dyDescent="0.55000000000000004">
      <c r="A31" s="632"/>
      <c r="B31" s="649">
        <v>23</v>
      </c>
      <c r="C31" s="118"/>
      <c r="D31" s="118"/>
      <c r="E31" s="118"/>
      <c r="F31" s="681">
        <f t="shared" si="5"/>
        <v>0</v>
      </c>
      <c r="G31" s="118"/>
      <c r="H31" s="118"/>
      <c r="I31" s="675" t="str">
        <f t="shared" si="4"/>
        <v>Not Filled</v>
      </c>
      <c r="J31" s="651"/>
      <c r="K31" s="644" t="s">
        <v>321</v>
      </c>
      <c r="L31" s="644">
        <f>COUNTIF($I$5:$I$39,"*.*")</f>
        <v>0</v>
      </c>
      <c r="M31" s="632"/>
      <c r="N31" s="632"/>
      <c r="O31" s="632"/>
      <c r="P31" s="632"/>
      <c r="Q31" s="632"/>
      <c r="R31" s="632"/>
      <c r="S31" s="632"/>
      <c r="T31" s="632"/>
      <c r="U31" s="632"/>
    </row>
    <row r="32" spans="1:21" s="117" customFormat="1" ht="14.7" thickBot="1" x14ac:dyDescent="0.55000000000000004">
      <c r="A32" s="632"/>
      <c r="B32" s="649">
        <v>24</v>
      </c>
      <c r="C32" s="118"/>
      <c r="D32" s="118"/>
      <c r="E32" s="118"/>
      <c r="F32" s="681">
        <f t="shared" si="5"/>
        <v>0</v>
      </c>
      <c r="G32" s="118"/>
      <c r="H32" s="118"/>
      <c r="I32" s="675" t="str">
        <f t="shared" si="4"/>
        <v>Not Filled</v>
      </c>
      <c r="J32" s="651"/>
      <c r="K32" s="644" t="s">
        <v>322</v>
      </c>
      <c r="L32" s="644">
        <f>COUNTIF($I$5:$I$39,"*!*")</f>
        <v>0</v>
      </c>
      <c r="M32" s="632"/>
      <c r="N32" s="632"/>
      <c r="O32" s="632"/>
      <c r="P32" s="632"/>
      <c r="Q32" s="632"/>
      <c r="R32" s="632"/>
      <c r="S32" s="632"/>
      <c r="T32" s="632"/>
      <c r="U32" s="632"/>
    </row>
    <row r="33" spans="1:21" s="117" customFormat="1" ht="14.7" thickBot="1" x14ac:dyDescent="0.55000000000000004">
      <c r="A33" s="632"/>
      <c r="B33" s="649">
        <v>25</v>
      </c>
      <c r="C33" s="118"/>
      <c r="D33" s="118"/>
      <c r="E33" s="118"/>
      <c r="F33" s="682">
        <f t="shared" si="5"/>
        <v>0</v>
      </c>
      <c r="G33" s="118"/>
      <c r="H33" s="118"/>
      <c r="I33" s="675" t="str">
        <f t="shared" si="4"/>
        <v>Not Filled</v>
      </c>
      <c r="J33" s="651"/>
      <c r="K33" s="644" t="s">
        <v>323</v>
      </c>
      <c r="L33" s="644">
        <f>COUNTIF($I$5:$I$39,"*;*")</f>
        <v>0</v>
      </c>
      <c r="M33" s="632"/>
      <c r="N33" s="632"/>
      <c r="O33" s="632"/>
      <c r="P33" s="632"/>
      <c r="Q33" s="632"/>
      <c r="R33" s="632"/>
      <c r="S33" s="632"/>
      <c r="T33" s="632"/>
      <c r="U33" s="632"/>
    </row>
    <row r="34" spans="1:21" s="117" customFormat="1" ht="13.2" thickBot="1" x14ac:dyDescent="0.55000000000000004">
      <c r="A34" s="632"/>
      <c r="B34" s="649"/>
      <c r="C34" s="665" t="s">
        <v>365</v>
      </c>
      <c r="D34" s="678"/>
      <c r="E34" s="679"/>
      <c r="F34" s="632"/>
      <c r="G34" s="668"/>
      <c r="H34" s="674"/>
      <c r="I34" s="675"/>
      <c r="J34" s="651"/>
      <c r="K34" s="686" t="s">
        <v>324</v>
      </c>
      <c r="L34" s="644">
        <f>COUNTIF($I$5:$I$39,"*Middle*")</f>
        <v>0</v>
      </c>
      <c r="M34" s="632"/>
      <c r="N34" s="632"/>
      <c r="O34" s="632"/>
      <c r="P34" s="632"/>
      <c r="Q34" s="632"/>
      <c r="R34" s="632"/>
      <c r="S34" s="632"/>
      <c r="T34" s="632"/>
      <c r="U34" s="632"/>
    </row>
    <row r="35" spans="1:21" s="117" customFormat="1" ht="14.7" thickBot="1" x14ac:dyDescent="0.55000000000000004">
      <c r="A35" s="632"/>
      <c r="B35" s="649">
        <v>26</v>
      </c>
      <c r="C35" s="118"/>
      <c r="D35" s="118"/>
      <c r="E35" s="118"/>
      <c r="F35" s="681">
        <f>D35*E35</f>
        <v>0</v>
      </c>
      <c r="G35" s="118"/>
      <c r="H35" s="118"/>
      <c r="I35" s="675" t="str">
        <f t="shared" si="4"/>
        <v>Not Filled</v>
      </c>
      <c r="J35" s="651"/>
      <c r="K35" s="686" t="s">
        <v>325</v>
      </c>
      <c r="L35" s="644">
        <f>COUNTIF($I$5:$I$39,"*Between Control &amp; No Action*")</f>
        <v>0</v>
      </c>
      <c r="M35" s="632"/>
      <c r="N35" s="632"/>
      <c r="O35" s="632"/>
      <c r="P35" s="632"/>
      <c r="Q35" s="632"/>
      <c r="R35" s="632"/>
      <c r="S35" s="632"/>
      <c r="T35" s="632"/>
      <c r="U35" s="632"/>
    </row>
    <row r="36" spans="1:21" s="117" customFormat="1" ht="14.7" thickBot="1" x14ac:dyDescent="0.55000000000000004">
      <c r="A36" s="632"/>
      <c r="B36" s="649">
        <v>27</v>
      </c>
      <c r="C36" s="118"/>
      <c r="D36" s="118"/>
      <c r="E36" s="118"/>
      <c r="F36" s="681">
        <f t="shared" ref="F36:F39" si="6">D36*E36</f>
        <v>0</v>
      </c>
      <c r="G36" s="118"/>
      <c r="H36" s="118"/>
      <c r="I36" s="675" t="str">
        <f t="shared" si="4"/>
        <v>Not Filled</v>
      </c>
      <c r="J36" s="651"/>
      <c r="K36" s="644" t="s">
        <v>326</v>
      </c>
      <c r="L36" s="644">
        <f>COUNTIF($I$5:$I$39,"*Between Action &amp; Warning*")</f>
        <v>0</v>
      </c>
      <c r="M36" s="632"/>
      <c r="N36" s="632"/>
      <c r="O36" s="632"/>
      <c r="P36" s="632"/>
      <c r="Q36" s="632"/>
      <c r="R36" s="632"/>
      <c r="S36" s="632"/>
      <c r="T36" s="632"/>
      <c r="U36" s="632"/>
    </row>
    <row r="37" spans="1:21" s="117" customFormat="1" ht="14.7" thickBot="1" x14ac:dyDescent="0.55000000000000004">
      <c r="A37" s="632"/>
      <c r="B37" s="649">
        <v>28</v>
      </c>
      <c r="C37" s="118"/>
      <c r="D37" s="118"/>
      <c r="E37" s="119"/>
      <c r="F37" s="687">
        <f t="shared" si="6"/>
        <v>0</v>
      </c>
      <c r="G37" s="118"/>
      <c r="H37" s="118"/>
      <c r="I37" s="675" t="str">
        <f t="shared" si="4"/>
        <v>Not Filled</v>
      </c>
      <c r="J37" s="651"/>
      <c r="K37" s="644" t="s">
        <v>327</v>
      </c>
      <c r="L37" s="644">
        <f>COUNTIF($I$5:$I$39,"*Between No Action &amp; Warning*")</f>
        <v>0</v>
      </c>
      <c r="M37" s="632"/>
      <c r="N37" s="632"/>
      <c r="O37" s="632"/>
      <c r="P37" s="632"/>
      <c r="Q37" s="632"/>
      <c r="R37" s="632"/>
      <c r="S37" s="632"/>
      <c r="T37" s="632"/>
      <c r="U37" s="632"/>
    </row>
    <row r="38" spans="1:21" s="117" customFormat="1" ht="14.7" thickBot="1" x14ac:dyDescent="0.55000000000000004">
      <c r="A38" s="632"/>
      <c r="B38" s="649">
        <v>29</v>
      </c>
      <c r="C38" s="118"/>
      <c r="D38" s="118"/>
      <c r="E38" s="119"/>
      <c r="F38" s="687">
        <f t="shared" si="6"/>
        <v>0</v>
      </c>
      <c r="G38" s="118"/>
      <c r="H38" s="118"/>
      <c r="I38" s="675" t="str">
        <f t="shared" si="4"/>
        <v>Not Filled</v>
      </c>
      <c r="J38" s="651"/>
      <c r="K38" s="688" t="s">
        <v>328</v>
      </c>
      <c r="L38" s="688">
        <f>COUNTIF($I$5:$I$39,"*Between Control &amp; Action*")</f>
        <v>0</v>
      </c>
      <c r="M38" s="632"/>
      <c r="N38" s="632"/>
      <c r="O38" s="632"/>
      <c r="P38" s="632"/>
      <c r="Q38" s="632"/>
      <c r="R38" s="632"/>
      <c r="S38" s="632"/>
      <c r="T38" s="632"/>
      <c r="U38" s="632"/>
    </row>
    <row r="39" spans="1:21" s="117" customFormat="1" ht="14.7" thickBot="1" x14ac:dyDescent="0.55000000000000004">
      <c r="A39" s="632"/>
      <c r="B39" s="649">
        <v>30</v>
      </c>
      <c r="C39" s="118"/>
      <c r="D39" s="118"/>
      <c r="E39" s="119"/>
      <c r="F39" s="689">
        <f t="shared" si="6"/>
        <v>0</v>
      </c>
      <c r="G39" s="118"/>
      <c r="H39" s="118"/>
      <c r="I39" s="675" t="str">
        <f t="shared" si="4"/>
        <v>Not Filled</v>
      </c>
      <c r="J39" s="651"/>
      <c r="K39" s="632"/>
      <c r="L39" s="632"/>
      <c r="M39" s="632"/>
      <c r="N39" s="632"/>
      <c r="O39" s="632"/>
      <c r="P39" s="632"/>
      <c r="Q39" s="632"/>
      <c r="R39" s="632"/>
      <c r="S39" s="632"/>
      <c r="T39" s="632"/>
      <c r="U39" s="632"/>
    </row>
    <row r="40" spans="1:21" s="117" customFormat="1" x14ac:dyDescent="0.5">
      <c r="A40" s="632"/>
      <c r="B40" s="671"/>
      <c r="C40" s="632"/>
      <c r="D40" s="632"/>
      <c r="E40" s="632"/>
      <c r="F40" s="632"/>
      <c r="G40" s="632"/>
      <c r="H40" s="632"/>
      <c r="I40" s="632"/>
      <c r="J40" s="632"/>
      <c r="K40" s="632"/>
      <c r="L40" s="632"/>
      <c r="M40" s="632"/>
      <c r="N40" s="632"/>
      <c r="O40" s="632"/>
      <c r="P40" s="632"/>
      <c r="Q40" s="632"/>
      <c r="R40" s="632"/>
      <c r="S40" s="632"/>
      <c r="T40" s="632"/>
      <c r="U40" s="632"/>
    </row>
    <row r="41" spans="1:21" s="117" customFormat="1" x14ac:dyDescent="0.5">
      <c r="A41" s="632"/>
      <c r="B41" s="671"/>
      <c r="C41" s="632"/>
      <c r="D41" s="632"/>
      <c r="E41" s="632"/>
      <c r="F41" s="632"/>
      <c r="G41" s="632"/>
      <c r="H41" s="632"/>
      <c r="I41" s="632"/>
      <c r="J41" s="632"/>
      <c r="K41" s="632"/>
      <c r="L41" s="632"/>
      <c r="M41" s="632"/>
      <c r="N41" s="632"/>
      <c r="O41" s="632"/>
      <c r="P41" s="632"/>
      <c r="Q41" s="632"/>
      <c r="R41" s="632"/>
      <c r="S41" s="632"/>
      <c r="T41" s="632"/>
      <c r="U41" s="632"/>
    </row>
    <row r="42" spans="1:21" s="117" customFormat="1" x14ac:dyDescent="0.5">
      <c r="A42" s="632"/>
      <c r="B42" s="671"/>
      <c r="C42" s="632"/>
      <c r="D42" s="632"/>
      <c r="E42" s="632"/>
      <c r="F42" s="632"/>
      <c r="G42" s="632"/>
      <c r="H42" s="632"/>
      <c r="I42" s="632"/>
      <c r="J42" s="632"/>
      <c r="K42" s="632"/>
      <c r="L42" s="632"/>
      <c r="M42" s="632"/>
      <c r="N42" s="632"/>
      <c r="O42" s="632"/>
      <c r="P42" s="632"/>
      <c r="Q42" s="632"/>
      <c r="R42" s="632"/>
      <c r="S42" s="632"/>
      <c r="T42" s="632"/>
      <c r="U42" s="632"/>
    </row>
    <row r="43" spans="1:21" s="117" customFormat="1" x14ac:dyDescent="0.5">
      <c r="A43" s="632"/>
      <c r="B43" s="671"/>
      <c r="C43" s="632"/>
      <c r="D43" s="632"/>
      <c r="E43" s="632"/>
      <c r="F43" s="632"/>
      <c r="G43" s="632"/>
      <c r="H43" s="632"/>
      <c r="I43" s="632"/>
      <c r="J43" s="632"/>
      <c r="K43" s="632"/>
      <c r="L43" s="632"/>
      <c r="M43" s="632"/>
      <c r="N43" s="632"/>
      <c r="O43" s="632"/>
      <c r="P43" s="632"/>
      <c r="Q43" s="632"/>
      <c r="R43" s="632"/>
      <c r="S43" s="632"/>
      <c r="T43" s="632"/>
      <c r="U43" s="632"/>
    </row>
    <row r="44" spans="1:21" s="117" customFormat="1" x14ac:dyDescent="0.5">
      <c r="A44" s="632"/>
      <c r="B44" s="671"/>
      <c r="C44" s="632"/>
      <c r="D44" s="632"/>
      <c r="E44" s="632"/>
      <c r="F44" s="632"/>
      <c r="G44" s="632"/>
      <c r="H44" s="632"/>
      <c r="I44" s="632"/>
      <c r="J44" s="632"/>
      <c r="K44" s="632"/>
      <c r="L44" s="632"/>
      <c r="M44" s="632"/>
      <c r="N44" s="632"/>
      <c r="O44" s="632"/>
      <c r="P44" s="632"/>
      <c r="Q44" s="632"/>
      <c r="R44" s="632"/>
      <c r="S44" s="632"/>
      <c r="T44" s="632"/>
      <c r="U44" s="632"/>
    </row>
    <row r="45" spans="1:21" s="117" customFormat="1" x14ac:dyDescent="0.5">
      <c r="A45" s="632"/>
      <c r="B45" s="671"/>
      <c r="C45" s="632"/>
      <c r="D45" s="632"/>
      <c r="E45" s="632"/>
      <c r="F45" s="632"/>
      <c r="G45" s="632"/>
      <c r="H45" s="632"/>
      <c r="I45" s="632"/>
      <c r="J45" s="632"/>
      <c r="K45" s="632"/>
      <c r="L45" s="632"/>
      <c r="M45" s="632"/>
      <c r="N45" s="632"/>
      <c r="O45" s="632"/>
      <c r="P45" s="632"/>
      <c r="Q45" s="632"/>
      <c r="R45" s="632"/>
      <c r="S45" s="632"/>
      <c r="T45" s="632"/>
      <c r="U45" s="632"/>
    </row>
    <row r="46" spans="1:21" s="117" customFormat="1" x14ac:dyDescent="0.5">
      <c r="A46" s="632"/>
      <c r="B46" s="671"/>
      <c r="C46" s="632"/>
      <c r="D46" s="632"/>
      <c r="E46" s="632"/>
      <c r="F46" s="632"/>
      <c r="G46" s="632"/>
      <c r="H46" s="632"/>
      <c r="I46" s="632"/>
      <c r="J46" s="632"/>
      <c r="K46" s="632"/>
      <c r="L46" s="632"/>
      <c r="M46" s="632"/>
      <c r="N46" s="632"/>
      <c r="O46" s="632"/>
      <c r="P46" s="632"/>
      <c r="Q46" s="632"/>
      <c r="R46" s="632"/>
      <c r="S46" s="632"/>
      <c r="T46" s="632"/>
      <c r="U46" s="632"/>
    </row>
    <row r="47" spans="1:21" s="117" customFormat="1" x14ac:dyDescent="0.5">
      <c r="A47" s="632"/>
      <c r="B47" s="671"/>
      <c r="C47" s="632"/>
      <c r="D47" s="632"/>
      <c r="E47" s="632"/>
      <c r="F47" s="632"/>
      <c r="G47" s="632"/>
      <c r="H47" s="632"/>
      <c r="I47" s="632"/>
      <c r="J47" s="632"/>
      <c r="K47" s="632"/>
      <c r="L47" s="632"/>
      <c r="M47" s="632"/>
      <c r="N47" s="632"/>
      <c r="O47" s="632"/>
      <c r="P47" s="632"/>
      <c r="Q47" s="632"/>
      <c r="R47" s="632"/>
      <c r="S47" s="632"/>
      <c r="T47" s="632"/>
      <c r="U47" s="632"/>
    </row>
    <row r="48" spans="1:21" s="117" customFormat="1" x14ac:dyDescent="0.5">
      <c r="A48" s="632"/>
      <c r="B48" s="671"/>
      <c r="C48" s="632"/>
      <c r="D48" s="632"/>
      <c r="E48" s="632"/>
      <c r="F48" s="632"/>
      <c r="G48" s="632"/>
      <c r="H48" s="632"/>
      <c r="I48" s="632"/>
      <c r="J48" s="632"/>
      <c r="K48" s="632"/>
      <c r="L48" s="632"/>
      <c r="M48" s="632"/>
      <c r="N48" s="632"/>
      <c r="O48" s="632"/>
      <c r="P48" s="632"/>
      <c r="Q48" s="632"/>
      <c r="R48" s="632"/>
      <c r="S48" s="632"/>
      <c r="T48" s="632"/>
      <c r="U48" s="632"/>
    </row>
    <row r="49" spans="2:10" ht="16.2" customHeight="1" x14ac:dyDescent="0.5">
      <c r="B49" s="671"/>
      <c r="J49" s="659"/>
    </row>
    <row r="50" spans="2:10" x14ac:dyDescent="0.5">
      <c r="B50" s="671"/>
    </row>
    <row r="51" spans="2:10" x14ac:dyDescent="0.5">
      <c r="B51" s="671"/>
    </row>
    <row r="52" spans="2:10" x14ac:dyDescent="0.5">
      <c r="B52" s="671"/>
    </row>
    <row r="53" spans="2:10" x14ac:dyDescent="0.5">
      <c r="B53" s="671"/>
    </row>
    <row r="54" spans="2:10" x14ac:dyDescent="0.5">
      <c r="B54" s="671"/>
    </row>
    <row r="55" spans="2:10" x14ac:dyDescent="0.5">
      <c r="B55" s="671"/>
    </row>
    <row r="56" spans="2:10" x14ac:dyDescent="0.5">
      <c r="B56" s="671"/>
    </row>
    <row r="57" spans="2:10" x14ac:dyDescent="0.5">
      <c r="B57" s="671"/>
    </row>
    <row r="58" spans="2:10" x14ac:dyDescent="0.5">
      <c r="B58" s="671"/>
    </row>
    <row r="59" spans="2:10" x14ac:dyDescent="0.5">
      <c r="B59" s="671"/>
    </row>
    <row r="60" spans="2:10" x14ac:dyDescent="0.5">
      <c r="B60" s="671"/>
    </row>
    <row r="61" spans="2:10" x14ac:dyDescent="0.5">
      <c r="B61" s="671"/>
    </row>
    <row r="62" spans="2:10" x14ac:dyDescent="0.5">
      <c r="B62" s="671"/>
    </row>
    <row r="63" spans="2:10" x14ac:dyDescent="0.5">
      <c r="B63" s="671"/>
    </row>
    <row r="64" spans="2:10" x14ac:dyDescent="0.5">
      <c r="B64" s="671"/>
    </row>
    <row r="65" spans="2:2" x14ac:dyDescent="0.5">
      <c r="B65" s="671"/>
    </row>
    <row r="66" spans="2:2" x14ac:dyDescent="0.5">
      <c r="B66" s="671"/>
    </row>
    <row r="67" spans="2:2" x14ac:dyDescent="0.5">
      <c r="B67" s="671"/>
    </row>
    <row r="68" spans="2:2" x14ac:dyDescent="0.5">
      <c r="B68" s="671"/>
    </row>
    <row r="69" spans="2:2" x14ac:dyDescent="0.5">
      <c r="B69" s="671"/>
    </row>
    <row r="70" spans="2:2" x14ac:dyDescent="0.5">
      <c r="B70" s="671"/>
    </row>
  </sheetData>
  <sheetProtection algorithmName="SHA-512" hashValue="iWrxTHFGAao8lwHVMXC61lckbXHOuciltRvzOzwan5gOdH6U5ow7ZW9YnylFfykSO++N7p35zXtd98fUrwR69A==" saltValue="ba+2PBcZQowGf6Lo2bd3+A==" spinCount="100000" sheet="1" objects="1" scenarios="1" selectLockedCells="1"/>
  <mergeCells count="2">
    <mergeCell ref="B2:I2"/>
    <mergeCell ref="K29:L29"/>
  </mergeCells>
  <conditionalFormatting sqref="I23:I39 I4:I21">
    <cfRule type="containsText" dxfId="9" priority="7" operator="containsText" text="Warning">
      <formula>NOT(ISERROR(SEARCH("Warning",I4)))</formula>
    </cfRule>
    <cfRule type="containsText" dxfId="8" priority="8" operator="containsText" text="Control">
      <formula>NOT(ISERROR(SEARCH("Control",I4)))</formula>
    </cfRule>
    <cfRule type="containsText" dxfId="7" priority="9" operator="containsText" text="No">
      <formula>NOT(ISERROR(SEARCH("No",I4)))</formula>
    </cfRule>
    <cfRule type="containsText" dxfId="6" priority="10" operator="containsText" text="Action">
      <formula>NOT(ISERROR(SEARCH("Action",I4)))</formula>
    </cfRule>
  </conditionalFormatting>
  <conditionalFormatting sqref="I23:I39 I4:I21">
    <cfRule type="containsText" dxfId="5" priority="6" operator="containsText" text="Not Filled">
      <formula>NOT(ISERROR(SEARCH("Not Filled",I4)))</formula>
    </cfRule>
  </conditionalFormatting>
  <conditionalFormatting sqref="I23:I39 I4:I21">
    <cfRule type="containsText" dxfId="4" priority="1" operator="containsText" text="Between Control &amp; Action">
      <formula>NOT(ISERROR(SEARCH("Between Control &amp; Action",I4)))</formula>
    </cfRule>
    <cfRule type="containsText" dxfId="3" priority="2" operator="containsText" text="Between No Action &amp; Warning">
      <formula>NOT(ISERROR(SEARCH("Between No Action &amp; Warning",I4)))</formula>
    </cfRule>
    <cfRule type="containsText" dxfId="2" priority="3" operator="containsText" text="Between Action &amp; Warning">
      <formula>NOT(ISERROR(SEARCH("Between Action &amp; Warning",I4)))</formula>
    </cfRule>
    <cfRule type="containsText" dxfId="1" priority="4" operator="containsText" text="Between Control &amp; No Action">
      <formula>NOT(ISERROR(SEARCH("Between Control &amp; No Action",I4)))</formula>
    </cfRule>
    <cfRule type="containsText" dxfId="0" priority="5" operator="containsText" text="Middle">
      <formula>NOT(ISERROR(SEARCH("Middle",I4)))</formula>
    </cfRule>
  </conditionalFormatting>
  <pageMargins left="0.7" right="0.7" top="0.75" bottom="0.75" header="0.3" footer="0.3"/>
  <pageSetup paperSize="9"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Generic document" ma:contentTypeID="0x01010031B82B69D2361148B4D8F7EC156802130800CF97EAC0146FBF42A1480D5F466D30C7" ma:contentTypeVersion="48" ma:contentTypeDescription="Opprett et nytt dokument." ma:contentTypeScope="" ma:versionID="395f7c325c5e7badbb099f5e1458544f">
  <xsd:schema xmlns:xsd="http://www.w3.org/2001/XMLSchema" xmlns:xs="http://www.w3.org/2001/XMLSchema" xmlns:p="http://schemas.microsoft.com/office/2006/metadata/properties" xmlns:ns2="8bbd4995-53b7-43e2-b62f-10947586ac31" xmlns:ns3="c58469b7-41b7-4305-a546-1ff96126a3a2" xmlns:ns4="18eda5bf-94fc-4f87-b129-c6b082595537" targetNamespace="http://schemas.microsoft.com/office/2006/metadata/properties" ma:root="true" ma:fieldsID="a145d1375b12151b0876966cd996fa80" ns2:_="" ns3:_="" ns4:_="">
    <xsd:import namespace="8bbd4995-53b7-43e2-b62f-10947586ac31"/>
    <xsd:import namespace="c58469b7-41b7-4305-a546-1ff96126a3a2"/>
    <xsd:import namespace="18eda5bf-94fc-4f87-b129-c6b082595537"/>
    <xsd:element name="properties">
      <xsd:complexType>
        <xsd:sequence>
          <xsd:element name="documentManagement">
            <xsd:complexType>
              <xsd:all>
                <xsd:element ref="ns2:ArchiveStatus" minOccurs="0"/>
                <xsd:element ref="ns2:CorpWorkflowApproval" minOccurs="0"/>
                <xsd:element ref="ns2:CorpWorkflowFeedback" minOccurs="0"/>
                <xsd:element ref="ns2:CorpSiteProjectNumber" minOccurs="0"/>
                <xsd:element ref="ns2:CorpSiteProjectName" minOccurs="0"/>
                <xsd:element ref="ns2:CorpSiteSubTitle" minOccurs="0"/>
                <xsd:element ref="ns2:CorpSiteAccess" minOccurs="0"/>
                <xsd:element ref="ns2:CorpSiteClassification" minOccurs="0"/>
                <xsd:element ref="ns2:CorpSiteTags" minOccurs="0"/>
                <xsd:element ref="ns2:CorpSiteProjectQA" minOccurs="0"/>
                <xsd:element ref="ns2:CorpSiteProjectOwner" minOccurs="0"/>
                <xsd:element ref="ns2:CorpSiteProjectLeader" minOccurs="0"/>
                <xsd:element ref="ns2:CorpSiteReportNumber" minOccurs="0"/>
                <xsd:element ref="ns2:CorpSiteISBN" minOccurs="0"/>
                <xsd:element ref="ns2:CorpSiteCoAuthors" minOccurs="0"/>
                <xsd:element ref="ns2:CorpSiteRecipientCompany" minOccurs="0"/>
                <xsd:element ref="ns2:CorpSiteRecipientPerson" minOccurs="0"/>
                <xsd:element ref="ns2:CorpSiteOurRef" minOccurs="0"/>
                <xsd:element ref="ns2:CorpSiteDocumentAuthor" minOccurs="0"/>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2:CorpSiteZipAddress" minOccurs="0"/>
                <xsd:element ref="ns2:CorpSiteZipContact" minOccurs="0"/>
                <xsd:element ref="ns2:CorpSiteVATNumber" minOccurs="0"/>
                <xsd:element ref="ns4:CorpSiteInstitute" minOccurs="0"/>
                <xsd:element ref="ns2:CorpSiteInstituteEmail" minOccurs="0"/>
                <xsd:element ref="ns2:CorpDocPageClassificationNbNo" minOccurs="0"/>
                <xsd:element ref="ns2:CorpDocClassificationEnUs" minOccurs="0"/>
                <xsd:element ref="ns2:CorpDocPageClassificationEnUs" minOccurs="0"/>
                <xsd:element ref="ns2:CorpSiteInstituteEnUs" minOccurs="0"/>
                <xsd:element ref="ns2:CorpSiteInstitutePhone" minOccurs="0"/>
                <xsd:element ref="ns2:CorpSiteDocLanguage" minOccurs="0"/>
                <xsd:element ref="ns2:CorpDocInstitute" minOccurs="0"/>
                <xsd:element ref="ns2:CorpDocClassificationNbNo" minOccurs="0"/>
                <xsd:element ref="ns2:CorpDocVersio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2:CorpWorkflowStatu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d4995-53b7-43e2-b62f-10947586ac31" elementFormDefault="qualified">
    <xsd:import namespace="http://schemas.microsoft.com/office/2006/documentManagement/types"/>
    <xsd:import namespace="http://schemas.microsoft.com/office/infopath/2007/PartnerControls"/>
    <xsd:element name="ArchiveStatus" ma:index="8" nillable="true" ma:displayName="Arkivstatus" ma:internalName="ArchiveStatus">
      <xsd:simpleType>
        <xsd:restriction base="dms:Text">
          <xsd:maxLength value="255"/>
        </xsd:restriction>
      </xsd:simpleType>
    </xsd:element>
    <xsd:element name="CorpWorkflowApproval" ma:index="9" nillable="true" ma:displayName="Status godkjenning" ma:internalName="CorpWorkflowApproval">
      <xsd:simpleType>
        <xsd:restriction base="dms:Text">
          <xsd:maxLength value="255"/>
        </xsd:restriction>
      </xsd:simpleType>
    </xsd:element>
    <xsd:element name="CorpWorkflowFeedback" ma:index="10" nillable="true" ma:displayName="Status kvalitetssikring" ma:internalName="CorpWorkflowFeedback">
      <xsd:simpleType>
        <xsd:restriction base="dms:Text">
          <xsd:maxLength value="255"/>
        </xsd:restriction>
      </xsd:simpleType>
    </xsd:element>
    <xsd:element name="CorpSiteProjectNumber" ma:index="11" nillable="true" ma:displayName="Prosjektnummer" ma:default="" ma:internalName="CorpSiteProjectNumber">
      <xsd:simpleType>
        <xsd:restriction base="dms:Text">
          <xsd:maxLength value="255"/>
        </xsd:restriction>
      </xsd:simpleType>
    </xsd:element>
    <xsd:element name="CorpSiteProjectName" ma:index="12" nillable="true" ma:displayName="Prosjektnavn" ma:internalName="CorpSiteProjectName">
      <xsd:simpleType>
        <xsd:restriction base="dms:Text">
          <xsd:maxLength value="255"/>
        </xsd:restriction>
      </xsd:simpleType>
    </xsd:element>
    <xsd:element name="CorpSiteSubTitle" ma:index="13" nillable="true" ma:displayName="Sub Tittel" ma:internalName="CorpSiteSubTitle">
      <xsd:simpleType>
        <xsd:restriction base="dms:Text">
          <xsd:maxLength value="255"/>
        </xsd:restriction>
      </xsd:simpleType>
    </xsd:element>
    <xsd:element name="CorpSiteAccess" ma:index="14" nillable="true" ma:displayName="Lesetilgang" ma:default="Kun navngitte medlemmer" ma:format="Dropdown" ma:internalName="CorpSiteAccess">
      <xsd:simpleType>
        <xsd:restriction base="dms:Choice">
          <xsd:enumeration value="Kun navngitte medlemmer"/>
          <xsd:enumeration value="SINTEF"/>
          <xsd:enumeration value="Institutt"/>
          <xsd:enumeration value="Avdeling"/>
          <xsd:maxLength value="255"/>
        </xsd:restriction>
      </xsd:simpleType>
    </xsd:element>
    <xsd:element name="CorpSiteClassification" ma:index="15" nillable="true" ma:displayName="Klassifisering" ma:default="Åpen" ma:internalName="CorpSiteClassification">
      <xsd:simpleType>
        <xsd:restriction base="dms:Choice">
          <xsd:enumeration value="Åpen"/>
          <xsd:enumeration value="Fortrolig"/>
          <xsd:enumeration value="Strengt fortrolig"/>
          <xsd:maxLength value="255"/>
        </xsd:restriction>
      </xsd:simpleType>
    </xsd:element>
    <xsd:element name="CorpSiteTags" ma:index="16" nillable="true" ma:displayName="Tags" ma:internalName="CorpSiteTags">
      <xsd:simpleType>
        <xsd:restriction base="dms:Text">
          <xsd:maxLength value="255"/>
        </xsd:restriction>
      </xsd:simpleType>
    </xsd:element>
    <xsd:element name="CorpSiteProjectQA" ma:index="17" nillable="true" ma:displayName="Kvalitestsansvarlig" ma:list="UserInfo" ma:SharePointGroup="0" ma:internalName="CorpSiteProjectQA"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rpSiteProjectOwner" ma:index="18" nillable="true" ma:displayName="Prosjekteier" ma:list="UserInfo" ma:SharePointGroup="0" ma:internalName="CorpSiteProjec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rpSiteProjectLeader" ma:index="19" nillable="true" ma:displayName="Prosjektleder" ma:list="UserInfo" ma:SharePointGroup="0" ma:internalName="CorpSiteProjectLead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rpSiteReportNumber" ma:index="20" nillable="true" ma:displayName="Rapport nummer" ma:internalName="CorpSiteReportNumber">
      <xsd:simpleType>
        <xsd:restriction base="dms:Text">
          <xsd:maxLength value="255"/>
        </xsd:restriction>
      </xsd:simpleType>
    </xsd:element>
    <xsd:element name="CorpSiteISBN" ma:index="21" nillable="true" ma:displayName="ISBN" ma:internalName="CorpSiteISBN">
      <xsd:simpleType>
        <xsd:restriction base="dms:Text">
          <xsd:maxLength value="255"/>
        </xsd:restriction>
      </xsd:simpleType>
    </xsd:element>
    <xsd:element name="CorpSiteCoAuthors" ma:index="22" nillable="true" ma:displayName="Medforfattere" ma:internalName="CorpSiteCoAuthors">
      <xsd:simpleType>
        <xsd:restriction base="dms:Text">
          <xsd:maxLength value="255"/>
        </xsd:restriction>
      </xsd:simpleType>
    </xsd:element>
    <xsd:element name="CorpSiteRecipientCompany" ma:index="23" nillable="true" ma:displayName="Mottakende selskap" ma:internalName="CorpSiteRecipientCompany">
      <xsd:simpleType>
        <xsd:restriction base="dms:Text">
          <xsd:maxLength value="255"/>
        </xsd:restriction>
      </xsd:simpleType>
    </xsd:element>
    <xsd:element name="CorpSiteRecipientPerson" ma:index="24" nillable="true" ma:displayName="Mottakende person" ma:internalName="CorpSiteRecipientPerson">
      <xsd:simpleType>
        <xsd:restriction base="dms:Text">
          <xsd:maxLength value="255"/>
        </xsd:restriction>
      </xsd:simpleType>
    </xsd:element>
    <xsd:element name="CorpSiteOurRef" ma:index="25" nillable="true" ma:displayName="Vår ref" ma:internalName="CorpSiteOurRef">
      <xsd:simpleType>
        <xsd:restriction base="dms:Text">
          <xsd:maxLength value="255"/>
        </xsd:restriction>
      </xsd:simpleType>
    </xsd:element>
    <xsd:element name="CorpSiteDocumentAuthor" ma:index="26" nillable="true" ma:displayName="Hovedforfatter" ma:internalName="CorpSiteDocum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rpSiteZipAddress" ma:index="34" nillable="true" ma:displayName="Adresse" ma:internalName="CorpSiteZipAddress">
      <xsd:simpleType>
        <xsd:restriction base="dms:Note">
          <xsd:maxLength value="255"/>
        </xsd:restriction>
      </xsd:simpleType>
    </xsd:element>
    <xsd:element name="CorpSiteZipContact" ma:index="35" nillable="true" ma:displayName="Kontakt" ma:internalName="CorpSiteZipContact">
      <xsd:simpleType>
        <xsd:restriction base="dms:Note">
          <xsd:maxLength value="255"/>
        </xsd:restriction>
      </xsd:simpleType>
    </xsd:element>
    <xsd:element name="CorpSiteVATNumber" ma:index="36" nillable="true" ma:displayName="Foretaksnummer" ma:internalName="CorpSiteVATNumber">
      <xsd:simpleType>
        <xsd:restriction base="dms:Text">
          <xsd:maxLength value="255"/>
        </xsd:restriction>
      </xsd:simpleType>
    </xsd:element>
    <xsd:element name="CorpSiteInstituteEmail" ma:index="38" nillable="true" ma:displayName="E-post institutt" ma:internalName="CorpSiteInstituteEmail">
      <xsd:simpleType>
        <xsd:restriction base="dms:Text">
          <xsd:maxLength value="255"/>
        </xsd:restriction>
      </xsd:simpleType>
    </xsd:element>
    <xsd:element name="CorpDocPageClassificationNbNo" ma:index="39" nillable="true" ma:displayName="Gradering Denne Siden" ma:default="Åpen" ma:internalName="CorpDocPageClassificationNbNo">
      <xsd:simpleType>
        <xsd:restriction base="dms:Choice">
          <xsd:enumeration value="Åpen"/>
          <xsd:enumeration value="Intern"/>
          <xsd:enumeration value="Fortrolig"/>
          <xsd:enumeration value="Strengt fortrolig"/>
          <xsd:maxLength value="255"/>
        </xsd:restriction>
      </xsd:simpleType>
    </xsd:element>
    <xsd:element name="CorpDocClassificationEnUs" ma:index="40" nillable="true" ma:displayName="Classification" ma:default="Unrestricted" ma:internalName="CorpDocClassificationEnUs">
      <xsd:simpleType>
        <xsd:restriction base="dms:Choice">
          <xsd:enumeration value="Unrestricted"/>
          <xsd:enumeration value="Internal"/>
          <xsd:enumeration value="Restricted"/>
          <xsd:enumeration value="Confidential"/>
          <xsd:maxLength value="255"/>
        </xsd:restriction>
      </xsd:simpleType>
    </xsd:element>
    <xsd:element name="CorpDocPageClassificationEnUs" ma:index="41" nillable="true" ma:displayName="Classification This Page" ma:default="Unrestricted" ma:internalName="CorpDocPageClassificationEnUs">
      <xsd:simpleType>
        <xsd:restriction base="dms:Choice">
          <xsd:enumeration value="Unrestricted"/>
          <xsd:enumeration value="Internal"/>
          <xsd:enumeration value="Restricted"/>
          <xsd:enumeration value="Confidential"/>
          <xsd:maxLength value="255"/>
        </xsd:restriction>
      </xsd:simpleType>
    </xsd:element>
    <xsd:element name="CorpSiteInstituteEnUs" ma:index="42" nillable="true" ma:displayName="InstituteEng" ma:internalName="CorpSiteInstituteEnUs">
      <xsd:simpleType>
        <xsd:restriction base="dms:Text">
          <xsd:maxLength value="255"/>
        </xsd:restriction>
      </xsd:simpleType>
    </xsd:element>
    <xsd:element name="CorpSiteInstitutePhone" ma:index="43" nillable="true" ma:displayName="Institutt tlf" ma:internalName="CorpSiteInstitutePhone">
      <xsd:simpleType>
        <xsd:restriction base="dms:Text">
          <xsd:maxLength value="255"/>
        </xsd:restriction>
      </xsd:simpleType>
    </xsd:element>
    <xsd:element name="CorpSiteDocLanguage" ma:index="44" nillable="true" ma:displayName="Språk" ma:internalName="CorpSiteDocLanguage">
      <xsd:simpleType>
        <xsd:restriction base="dms:Text">
          <xsd:maxLength value="255"/>
        </xsd:restriction>
      </xsd:simpleType>
    </xsd:element>
    <xsd:element name="CorpDocInstitute" ma:index="45" nillable="true" ma:displayName="Institutt" ma:internalName="CorpDocInstitute">
      <xsd:simpleType>
        <xsd:restriction base="dms:Text">
          <xsd:maxLength value="255"/>
        </xsd:restriction>
      </xsd:simpleType>
    </xsd:element>
    <xsd:element name="CorpDocClassificationNbNo" ma:index="46" nillable="true" ma:displayName="Gradering" ma:default="Åpen" ma:internalName="CorpDocClassificationNbNo">
      <xsd:simpleType>
        <xsd:restriction base="dms:Choice">
          <xsd:enumeration value="Åpen"/>
          <xsd:enumeration value="Intern"/>
          <xsd:enumeration value="Fortrolig"/>
          <xsd:enumeration value="Strengt fortrolig"/>
          <xsd:maxLength value="255"/>
        </xsd:restriction>
      </xsd:simpleType>
    </xsd:element>
    <xsd:element name="CorpDocVersion" ma:index="47" nillable="true" ma:displayName="Versjon" ma:internalName="CorpDocVersion">
      <xsd:simpleType>
        <xsd:restriction base="dms:Text">
          <xsd:maxLength value="255"/>
        </xsd:restriction>
      </xsd:simpleType>
    </xsd:element>
    <xsd:element name="CorpWorkflowStatus" ma:index="53" nillable="true" ma:displayName="Status arbeidsflyt" ma:internalName="CorpWorkflow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8469b7-41b7-4305-a546-1ff96126a3a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DateTaken" ma:index="29" nillable="true" ma:displayName="MediaServiceDateTaken" ma:hidden="true" ma:internalName="MediaServiceDateTaken" ma:readOnly="true">
      <xsd:simpleType>
        <xsd:restriction base="dms:Text"/>
      </xsd:simpleType>
    </xsd:element>
    <xsd:element name="MediaServiceAutoTags" ma:index="30" nillable="true" ma:displayName="MediaServiceAutoTags" ma:internalName="MediaServiceAutoTags" ma:readOnly="true">
      <xsd:simpleType>
        <xsd:restriction base="dms:Text"/>
      </xsd:simpleType>
    </xsd:element>
    <xsd:element name="MediaServiceOCR" ma:index="31" nillable="true" ma:displayName="MediaServiceOCR" ma:internalName="MediaServiceOCR" ma:readOnly="true">
      <xsd:simpleType>
        <xsd:restriction base="dms:Note">
          <xsd:maxLength value="255"/>
        </xsd:restriction>
      </xsd:simpleType>
    </xsd:element>
    <xsd:element name="MediaServiceLocation" ma:index="48" nillable="true" ma:displayName="MediaServiceLocation" ma:internalName="MediaServiceLocation" ma:readOnly="true">
      <xsd:simpleType>
        <xsd:restriction base="dms:Text"/>
      </xsd:simpleType>
    </xsd:element>
    <xsd:element name="MediaServiceGenerationTime" ma:index="49" nillable="true" ma:displayName="MediaServiceGenerationTime" ma:hidden="true" ma:internalName="MediaServiceGenerationTime" ma:readOnly="true">
      <xsd:simpleType>
        <xsd:restriction base="dms:Text"/>
      </xsd:simpleType>
    </xsd:element>
    <xsd:element name="MediaServiceEventHashCode" ma:index="50" nillable="true" ma:displayName="MediaServiceEventHashCode" ma:hidden="true" ma:internalName="MediaServiceEventHashCode" ma:readOnly="true">
      <xsd:simpleType>
        <xsd:restriction base="dms:Text"/>
      </xsd:simpleType>
    </xsd:element>
    <xsd:element name="MediaServiceAutoKeyPoints" ma:index="51" nillable="true" ma:displayName="MediaServiceAutoKeyPoints" ma:hidden="true" ma:internalName="MediaServiceAutoKeyPoints" ma:readOnly="true">
      <xsd:simpleType>
        <xsd:restriction base="dms:Note"/>
      </xsd:simpleType>
    </xsd:element>
    <xsd:element name="MediaServiceKeyPoints" ma:index="52" nillable="true" ma:displayName="KeyPoints" ma:internalName="MediaServiceKeyPoints" ma:readOnly="true">
      <xsd:simpleType>
        <xsd:restriction base="dms:Note">
          <xsd:maxLength value="255"/>
        </xsd:restriction>
      </xsd:simpleType>
    </xsd:element>
    <xsd:element name="MediaLengthInSeconds" ma:index="54" nillable="true" ma:displayName="MediaLengthInSeconds" ma:hidden="true" ma:internalName="MediaLengthInSeconds" ma:readOnly="true">
      <xsd:simpleType>
        <xsd:restriction base="dms:Unknown"/>
      </xsd:simpleType>
    </xsd:element>
    <xsd:element name="lcf76f155ced4ddcb4097134ff3c332f" ma:index="56" nillable="true" ma:taxonomy="true" ma:internalName="lcf76f155ced4ddcb4097134ff3c332f" ma:taxonomyFieldName="MediaServiceImageTags" ma:displayName="Bildemerkelapper" ma:readOnly="false" ma:fieldId="{5cf76f15-5ced-4ddc-b409-7134ff3c332f}" ma:taxonomyMulti="true" ma:sspId="322a372c-f9c2-4fd8-9939-aea158435b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eda5bf-94fc-4f87-b129-c6b082595537" elementFormDefault="qualified">
    <xsd:import namespace="http://schemas.microsoft.com/office/2006/documentManagement/types"/>
    <xsd:import namespace="http://schemas.microsoft.com/office/infopath/2007/PartnerControls"/>
    <xsd:element name="SharedWithUsers" ma:index="3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Delingsdetaljer" ma:internalName="SharedWithDetails" ma:readOnly="true">
      <xsd:simpleType>
        <xsd:restriction base="dms:Note">
          <xsd:maxLength value="255"/>
        </xsd:restriction>
      </xsd:simpleType>
    </xsd:element>
    <xsd:element name="CorpSiteInstitute" ma:index="37" nillable="true" ma:displayName="Institutt" ma:internalName="CorpSiteInstitute">
      <xsd:simpleType>
        <xsd:restriction base="dms:Text">
          <xsd:maxLength value="255"/>
        </xsd:restriction>
      </xsd:simpleType>
    </xsd:element>
    <xsd:element name="TaxCatchAll" ma:index="57" nillable="true" ma:displayName="Taxonomy Catch All Column" ma:hidden="true" ma:list="{d2cd52be-6647-4564-b9f3-242785ff0dd3}" ma:internalName="TaxCatchAll" ma:showField="CatchAllData" ma:web="18eda5bf-94fc-4f87-b129-c6b0825955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182388-9FC5-4A55-A1D7-96BE1664B6BD}"/>
</file>

<file path=customXml/itemProps2.xml><?xml version="1.0" encoding="utf-8"?>
<ds:datastoreItem xmlns:ds="http://schemas.openxmlformats.org/officeDocument/2006/customXml" ds:itemID="{30A90E87-43F5-4183-B044-007B3216E29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Terms and conditions</vt:lpstr>
      <vt:lpstr>Inventory</vt:lpstr>
      <vt:lpstr>PFD &amp; Equipment list</vt:lpstr>
      <vt:lpstr>GCT</vt:lpstr>
      <vt:lpstr>GHG</vt:lpstr>
      <vt:lpstr>Economic</vt:lpstr>
      <vt:lpstr>Energy efficiency</vt:lpstr>
      <vt:lpstr>Social Impact</vt:lpstr>
      <vt:lpstr>Risk Evaluation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Sadaf Savadkouhi</dc:creator>
  <cp:lastModifiedBy>Wei Zhao</cp:lastModifiedBy>
  <dcterms:created xsi:type="dcterms:W3CDTF">2021-10-15T07:19:49Z</dcterms:created>
  <dcterms:modified xsi:type="dcterms:W3CDTF">2022-09-19T14:02:02Z</dcterms:modified>
</cp:coreProperties>
</file>