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40" yWindow="105" windowWidth="14805" windowHeight="7650"/>
  </bookViews>
  <sheets>
    <sheet name="Presentation - instructions" sheetId="9" r:id="rId1"/>
    <sheet name="Input data" sheetId="2" r:id="rId2"/>
    <sheet name="Discount factors" sheetId="3" r:id="rId3"/>
    <sheet name="Detailed cost results" sheetId="1" r:id="rId4"/>
    <sheet name="Summarised cost results" sheetId="4" r:id="rId5"/>
    <sheet name="Sensitivity analyses" sheetId="6" r:id="rId6"/>
  </sheets>
  <definedNames>
    <definedName name="List">'Input data'!$O$103:$O$104</definedName>
    <definedName name="Number_of_years">'Discount factors'!$B$6:$B$55</definedName>
    <definedName name="Type_cost">'Summarised cost results'!#REF!</definedName>
  </definedNames>
  <calcPr calcId="152511"/>
</workbook>
</file>

<file path=xl/calcChain.xml><?xml version="1.0" encoding="utf-8"?>
<calcChain xmlns="http://schemas.openxmlformats.org/spreadsheetml/2006/main">
  <c r="F106" i="2" l="1"/>
  <c r="C7" i="3" l="1"/>
  <c r="D7" i="3" s="1"/>
  <c r="C8" i="3"/>
  <c r="D8" i="3" s="1"/>
  <c r="C9" i="3"/>
  <c r="D9" i="3" s="1"/>
  <c r="C10" i="3"/>
  <c r="D10" i="3" s="1"/>
  <c r="C11" i="3"/>
  <c r="D11" i="3" s="1"/>
  <c r="C12" i="3"/>
  <c r="D12" i="3" s="1"/>
  <c r="C13" i="3"/>
  <c r="D13" i="3" s="1"/>
  <c r="C14" i="3"/>
  <c r="D14" i="3" s="1"/>
  <c r="C15" i="3"/>
  <c r="D15" i="3" s="1"/>
  <c r="C16" i="3"/>
  <c r="D16" i="3" s="1"/>
  <c r="C17" i="3"/>
  <c r="D17" i="3" s="1"/>
  <c r="C18" i="3"/>
  <c r="D18" i="3" s="1"/>
  <c r="C19" i="3"/>
  <c r="D19" i="3" s="1"/>
  <c r="C20" i="3"/>
  <c r="D20" i="3" s="1"/>
  <c r="C21" i="3"/>
  <c r="D21" i="3" s="1"/>
  <c r="C22" i="3"/>
  <c r="D22" i="3" s="1"/>
  <c r="C23" i="3"/>
  <c r="D23" i="3" s="1"/>
  <c r="C24" i="3"/>
  <c r="D24" i="3" s="1"/>
  <c r="C25" i="3"/>
  <c r="D25" i="3" s="1"/>
  <c r="C26" i="3"/>
  <c r="D26" i="3" s="1"/>
  <c r="C27" i="3"/>
  <c r="D27" i="3" s="1"/>
  <c r="C28" i="3"/>
  <c r="D28" i="3" s="1"/>
  <c r="C29" i="3"/>
  <c r="D29" i="3" s="1"/>
  <c r="C30" i="3"/>
  <c r="D30" i="3" s="1"/>
  <c r="C31" i="3"/>
  <c r="D31" i="3" s="1"/>
  <c r="C32" i="3"/>
  <c r="D32" i="3" s="1"/>
  <c r="C33" i="3"/>
  <c r="D33" i="3" s="1"/>
  <c r="C34" i="3"/>
  <c r="D34" i="3" s="1"/>
  <c r="C35" i="3"/>
  <c r="D35" i="3" s="1"/>
  <c r="C36" i="3"/>
  <c r="D36" i="3" s="1"/>
  <c r="C37" i="3"/>
  <c r="D37" i="3" s="1"/>
  <c r="C38" i="3"/>
  <c r="D38" i="3" s="1"/>
  <c r="C39" i="3"/>
  <c r="D39" i="3" s="1"/>
  <c r="C40" i="3"/>
  <c r="D40" i="3" s="1"/>
  <c r="C41" i="3"/>
  <c r="D41" i="3" s="1"/>
  <c r="C42" i="3"/>
  <c r="D42" i="3" s="1"/>
  <c r="C43" i="3"/>
  <c r="D43" i="3" s="1"/>
  <c r="C44" i="3"/>
  <c r="D44" i="3" s="1"/>
  <c r="C45" i="3"/>
  <c r="D45" i="3" s="1"/>
  <c r="C46" i="3"/>
  <c r="D46" i="3" s="1"/>
  <c r="C47" i="3"/>
  <c r="D47" i="3" s="1"/>
  <c r="C48" i="3"/>
  <c r="D48" i="3" s="1"/>
  <c r="C49" i="3"/>
  <c r="D49" i="3" s="1"/>
  <c r="C50" i="3"/>
  <c r="D50" i="3" s="1"/>
  <c r="C51" i="3"/>
  <c r="D51" i="3" s="1"/>
  <c r="C52" i="3"/>
  <c r="D52" i="3" s="1"/>
  <c r="C53" i="3"/>
  <c r="D53" i="3" s="1"/>
  <c r="C54" i="3"/>
  <c r="D54" i="3" s="1"/>
  <c r="C55" i="3"/>
  <c r="D55" i="3"/>
  <c r="C56" i="3"/>
  <c r="D56" i="3" s="1"/>
  <c r="C57" i="3"/>
  <c r="D57" i="3" s="1"/>
  <c r="C58" i="3"/>
  <c r="D58" i="3" s="1"/>
  <c r="U6" i="3"/>
  <c r="V6" i="3" s="1"/>
  <c r="R6" i="3"/>
  <c r="S6" i="3" s="1"/>
  <c r="O6" i="3"/>
  <c r="P6" i="3" s="1"/>
  <c r="F6" i="3"/>
  <c r="G6" i="3" s="1"/>
  <c r="C6" i="3"/>
  <c r="D6" i="3" s="1"/>
  <c r="L6" i="3"/>
  <c r="M6" i="3" s="1"/>
  <c r="I6" i="3"/>
  <c r="J6" i="3" s="1"/>
  <c r="D59" i="3" l="1"/>
  <c r="E9" i="6"/>
  <c r="E10" i="6"/>
  <c r="E11" i="6"/>
  <c r="E12" i="6"/>
  <c r="E13" i="6"/>
  <c r="D13" i="6"/>
  <c r="D12" i="6"/>
  <c r="D11" i="6"/>
  <c r="D10" i="6"/>
  <c r="D9" i="6"/>
  <c r="E8" i="6"/>
  <c r="E7" i="6"/>
  <c r="E6" i="6"/>
  <c r="D7" i="6"/>
  <c r="D5" i="6"/>
  <c r="D23" i="1"/>
  <c r="D45" i="2" l="1"/>
  <c r="E11" i="2" l="1"/>
  <c r="E16" i="6" l="1"/>
  <c r="D16" i="6"/>
  <c r="E8" i="1"/>
  <c r="F8" i="1"/>
  <c r="G8" i="1"/>
  <c r="H8" i="1"/>
  <c r="I8" i="1"/>
  <c r="J8" i="1"/>
  <c r="K8" i="1"/>
  <c r="E9" i="1"/>
  <c r="F9" i="1"/>
  <c r="G9" i="1"/>
  <c r="H9" i="1"/>
  <c r="I9" i="1"/>
  <c r="J9" i="1"/>
  <c r="K9" i="1"/>
  <c r="D9" i="1"/>
  <c r="D8" i="1"/>
  <c r="E5" i="1"/>
  <c r="F5" i="1"/>
  <c r="G5" i="1"/>
  <c r="H5" i="1"/>
  <c r="I5" i="1"/>
  <c r="J5" i="1"/>
  <c r="K5" i="1"/>
  <c r="E6" i="1"/>
  <c r="F6" i="1"/>
  <c r="G6" i="1"/>
  <c r="H6" i="1"/>
  <c r="I6" i="1"/>
  <c r="J6" i="1"/>
  <c r="K6" i="1"/>
  <c r="D6" i="1"/>
  <c r="D5" i="1"/>
  <c r="L5" i="1" l="1"/>
  <c r="L8" i="1"/>
  <c r="L6" i="1"/>
  <c r="L9" i="1"/>
  <c r="E15" i="6"/>
  <c r="D15" i="6"/>
  <c r="E14" i="6"/>
  <c r="D14" i="6"/>
  <c r="T7" i="3" l="1"/>
  <c r="U7" i="3" s="1"/>
  <c r="V7" i="3" s="1"/>
  <c r="Q7" i="3"/>
  <c r="R7" i="3" s="1"/>
  <c r="S7" i="3" s="1"/>
  <c r="N7" i="3"/>
  <c r="O7" i="3" s="1"/>
  <c r="P7" i="3" s="1"/>
  <c r="K7" i="3"/>
  <c r="L7" i="3" s="1"/>
  <c r="M7" i="3" s="1"/>
  <c r="T4" i="3"/>
  <c r="Q4" i="3"/>
  <c r="N4" i="3"/>
  <c r="K4" i="3"/>
  <c r="H4" i="3"/>
  <c r="E4" i="3"/>
  <c r="H7" i="3"/>
  <c r="I7" i="3" s="1"/>
  <c r="J7" i="3" s="1"/>
  <c r="E7" i="3"/>
  <c r="E8" i="3" l="1"/>
  <c r="F8" i="3" s="1"/>
  <c r="G8" i="3" s="1"/>
  <c r="F7" i="3"/>
  <c r="G7" i="3" s="1"/>
  <c r="K8" i="3"/>
  <c r="L8" i="3" s="1"/>
  <c r="M8" i="3" s="1"/>
  <c r="N8" i="3"/>
  <c r="Q8" i="3"/>
  <c r="R8" i="3" s="1"/>
  <c r="S8" i="3" s="1"/>
  <c r="H8" i="3"/>
  <c r="I8" i="3" s="1"/>
  <c r="J8" i="3" s="1"/>
  <c r="T8" i="3"/>
  <c r="U8" i="3" s="1"/>
  <c r="V8" i="3" s="1"/>
  <c r="E9" i="3" l="1"/>
  <c r="F9" i="3" s="1"/>
  <c r="G9" i="3" s="1"/>
  <c r="N9" i="3"/>
  <c r="O8" i="3"/>
  <c r="P8" i="3" s="1"/>
  <c r="K9" i="3"/>
  <c r="T9" i="3"/>
  <c r="U9" i="3" s="1"/>
  <c r="V9" i="3" s="1"/>
  <c r="Q9" i="3"/>
  <c r="R9" i="3" s="1"/>
  <c r="S9" i="3" s="1"/>
  <c r="H9" i="3"/>
  <c r="I9" i="3" s="1"/>
  <c r="J9" i="3" s="1"/>
  <c r="E10" i="3" l="1"/>
  <c r="F10" i="3" s="1"/>
  <c r="G10" i="3" s="1"/>
  <c r="K10" i="3"/>
  <c r="L10" i="3" s="1"/>
  <c r="M10" i="3" s="1"/>
  <c r="L9" i="3"/>
  <c r="M9" i="3" s="1"/>
  <c r="N10" i="3"/>
  <c r="O9" i="3"/>
  <c r="P9" i="3" s="1"/>
  <c r="Q10" i="3"/>
  <c r="R10" i="3" s="1"/>
  <c r="S10" i="3" s="1"/>
  <c r="T10" i="3"/>
  <c r="U10" i="3" s="1"/>
  <c r="V10" i="3" s="1"/>
  <c r="H10" i="3"/>
  <c r="I10" i="3" s="1"/>
  <c r="J10" i="3" s="1"/>
  <c r="K11" i="3"/>
  <c r="L11" i="3" s="1"/>
  <c r="M11" i="3" s="1"/>
  <c r="G4" i="4"/>
  <c r="O10" i="3" l="1"/>
  <c r="P10" i="3" s="1"/>
  <c r="N11" i="3"/>
  <c r="E11" i="3"/>
  <c r="F11" i="3" s="1"/>
  <c r="G11" i="3" s="1"/>
  <c r="T11" i="3"/>
  <c r="U11" i="3" s="1"/>
  <c r="V11" i="3" s="1"/>
  <c r="Q11" i="3"/>
  <c r="R11" i="3" s="1"/>
  <c r="S11" i="3" s="1"/>
  <c r="H11" i="3"/>
  <c r="I11" i="3" s="1"/>
  <c r="J11" i="3" s="1"/>
  <c r="K12" i="3"/>
  <c r="L12" i="3" s="1"/>
  <c r="M12" i="3" s="1"/>
  <c r="E12" i="3"/>
  <c r="F12" i="3" s="1"/>
  <c r="G12" i="3" s="1"/>
  <c r="E12" i="2"/>
  <c r="O11" i="3" l="1"/>
  <c r="P11" i="3" s="1"/>
  <c r="N12" i="3"/>
  <c r="E86" i="2"/>
  <c r="E87" i="2"/>
  <c r="E90" i="2"/>
  <c r="D30" i="1" s="1"/>
  <c r="G85" i="2"/>
  <c r="G89" i="2"/>
  <c r="H29" i="1" s="1"/>
  <c r="F19" i="2"/>
  <c r="F20" i="2"/>
  <c r="D16" i="4" s="1"/>
  <c r="Q12" i="3"/>
  <c r="R12" i="3" s="1"/>
  <c r="S12" i="3" s="1"/>
  <c r="T12" i="3"/>
  <c r="U12" i="3" s="1"/>
  <c r="V12" i="3" s="1"/>
  <c r="H12" i="3"/>
  <c r="I12" i="3" s="1"/>
  <c r="J12" i="3" s="1"/>
  <c r="K13" i="3"/>
  <c r="L13" i="3" s="1"/>
  <c r="M13" i="3" s="1"/>
  <c r="E13" i="3"/>
  <c r="F13" i="3" s="1"/>
  <c r="G13" i="3" s="1"/>
  <c r="K23" i="1"/>
  <c r="H23" i="1"/>
  <c r="O12" i="3" l="1"/>
  <c r="P12" i="3" s="1"/>
  <c r="N13" i="3"/>
  <c r="T13" i="3"/>
  <c r="U13" i="3" s="1"/>
  <c r="V13" i="3" s="1"/>
  <c r="Q13" i="3"/>
  <c r="R13" i="3" s="1"/>
  <c r="S13" i="3" s="1"/>
  <c r="H13" i="3"/>
  <c r="I13" i="3" s="1"/>
  <c r="J13" i="3" s="1"/>
  <c r="K14" i="3"/>
  <c r="L14" i="3" s="1"/>
  <c r="M14" i="3" s="1"/>
  <c r="E14" i="3"/>
  <c r="F14" i="3" s="1"/>
  <c r="G14" i="3" s="1"/>
  <c r="F93" i="2"/>
  <c r="H27" i="1" s="1"/>
  <c r="D10" i="4" s="1"/>
  <c r="O13" i="3" l="1"/>
  <c r="P13" i="3" s="1"/>
  <c r="N14" i="3"/>
  <c r="Q14" i="3"/>
  <c r="R14" i="3" s="1"/>
  <c r="S14" i="3" s="1"/>
  <c r="T14" i="3"/>
  <c r="U14" i="3" s="1"/>
  <c r="V14" i="3" s="1"/>
  <c r="H14" i="3"/>
  <c r="I14" i="3" s="1"/>
  <c r="J14" i="3" s="1"/>
  <c r="K15" i="3"/>
  <c r="L15" i="3" s="1"/>
  <c r="M15" i="3" s="1"/>
  <c r="E15" i="3"/>
  <c r="F15" i="3" s="1"/>
  <c r="G15" i="3" s="1"/>
  <c r="F96" i="2"/>
  <c r="O14" i="3" l="1"/>
  <c r="P14" i="3" s="1"/>
  <c r="N15" i="3"/>
  <c r="T15" i="3"/>
  <c r="U15" i="3" s="1"/>
  <c r="V15" i="3" s="1"/>
  <c r="Q15" i="3"/>
  <c r="R15" i="3" s="1"/>
  <c r="S15" i="3" s="1"/>
  <c r="H15" i="3"/>
  <c r="I15" i="3" s="1"/>
  <c r="J15" i="3" s="1"/>
  <c r="K16" i="3"/>
  <c r="L16" i="3" s="1"/>
  <c r="M16" i="3" s="1"/>
  <c r="E16" i="3"/>
  <c r="F16" i="3" s="1"/>
  <c r="G16" i="3" s="1"/>
  <c r="H37" i="1"/>
  <c r="D28" i="1"/>
  <c r="O15" i="3" l="1"/>
  <c r="P15" i="3" s="1"/>
  <c r="N16" i="3"/>
  <c r="L37" i="1"/>
  <c r="D43" i="1" s="1"/>
  <c r="D12" i="4"/>
  <c r="Q16" i="3"/>
  <c r="R16" i="3" s="1"/>
  <c r="S16" i="3" s="1"/>
  <c r="T16" i="3"/>
  <c r="U16" i="3" s="1"/>
  <c r="V16" i="3" s="1"/>
  <c r="H16" i="3"/>
  <c r="I16" i="3" s="1"/>
  <c r="J16" i="3" s="1"/>
  <c r="K17" i="3"/>
  <c r="L17" i="3" s="1"/>
  <c r="M17" i="3" s="1"/>
  <c r="E17" i="3"/>
  <c r="F17" i="3" s="1"/>
  <c r="G17" i="3" s="1"/>
  <c r="D8" i="6"/>
  <c r="D6" i="6"/>
  <c r="E5" i="6"/>
  <c r="O16" i="3" l="1"/>
  <c r="P16" i="3" s="1"/>
  <c r="N17" i="3"/>
  <c r="T17" i="3"/>
  <c r="U17" i="3" s="1"/>
  <c r="V17" i="3" s="1"/>
  <c r="Q17" i="3"/>
  <c r="R17" i="3" s="1"/>
  <c r="S17" i="3" s="1"/>
  <c r="H17" i="3"/>
  <c r="I17" i="3" s="1"/>
  <c r="J17" i="3" s="1"/>
  <c r="K18" i="3"/>
  <c r="L18" i="3" s="1"/>
  <c r="M18" i="3" s="1"/>
  <c r="E18" i="3"/>
  <c r="F18" i="3" s="1"/>
  <c r="G18" i="3" s="1"/>
  <c r="D14" i="1"/>
  <c r="K14" i="1"/>
  <c r="O17" i="3" l="1"/>
  <c r="P17" i="3" s="1"/>
  <c r="N18" i="3"/>
  <c r="H3" i="4"/>
  <c r="H4" i="4" s="1"/>
  <c r="H14" i="1"/>
  <c r="Q18" i="3"/>
  <c r="R18" i="3" s="1"/>
  <c r="S18" i="3" s="1"/>
  <c r="T18" i="3"/>
  <c r="U18" i="3" s="1"/>
  <c r="V18" i="3" s="1"/>
  <c r="H18" i="3"/>
  <c r="I18" i="3" s="1"/>
  <c r="J18" i="3" s="1"/>
  <c r="K19" i="3"/>
  <c r="L19" i="3" s="1"/>
  <c r="M19" i="3" s="1"/>
  <c r="E19" i="3"/>
  <c r="F19" i="3" s="1"/>
  <c r="G19" i="3" s="1"/>
  <c r="D31" i="1"/>
  <c r="D6" i="4" s="1"/>
  <c r="E16" i="1"/>
  <c r="F16" i="1"/>
  <c r="G16" i="1"/>
  <c r="I16" i="1"/>
  <c r="J16" i="1"/>
  <c r="H31" i="1"/>
  <c r="D11" i="4" s="1"/>
  <c r="O18" i="3" l="1"/>
  <c r="P18" i="3" s="1"/>
  <c r="N19" i="3"/>
  <c r="T19" i="3"/>
  <c r="U19" i="3" s="1"/>
  <c r="V19" i="3" s="1"/>
  <c r="Q19" i="3"/>
  <c r="R19" i="3" s="1"/>
  <c r="S19" i="3" s="1"/>
  <c r="H19" i="3"/>
  <c r="I19" i="3" s="1"/>
  <c r="J19" i="3" s="1"/>
  <c r="K20" i="3"/>
  <c r="L20" i="3" s="1"/>
  <c r="M20" i="3" s="1"/>
  <c r="E20" i="3"/>
  <c r="F20" i="3" s="1"/>
  <c r="G20" i="3" s="1"/>
  <c r="L14" i="1"/>
  <c r="C45" i="2"/>
  <c r="D48" i="2" s="1"/>
  <c r="O19" i="3" l="1"/>
  <c r="P19" i="3" s="1"/>
  <c r="N20" i="3"/>
  <c r="Q20" i="3"/>
  <c r="R20" i="3" s="1"/>
  <c r="S20" i="3" s="1"/>
  <c r="T20" i="3"/>
  <c r="U20" i="3" s="1"/>
  <c r="V20" i="3" s="1"/>
  <c r="H20" i="3"/>
  <c r="I20" i="3" s="1"/>
  <c r="J20" i="3" s="1"/>
  <c r="K21" i="3"/>
  <c r="L21" i="3" s="1"/>
  <c r="M21" i="3" s="1"/>
  <c r="E21" i="3"/>
  <c r="F21" i="3" s="1"/>
  <c r="G21" i="3" s="1"/>
  <c r="B7" i="3"/>
  <c r="O20" i="3" l="1"/>
  <c r="P20" i="3" s="1"/>
  <c r="N21" i="3"/>
  <c r="T21" i="3"/>
  <c r="U21" i="3" s="1"/>
  <c r="V21" i="3" s="1"/>
  <c r="Q21" i="3"/>
  <c r="R21" i="3" s="1"/>
  <c r="S21" i="3" s="1"/>
  <c r="H21" i="3"/>
  <c r="I21" i="3" s="1"/>
  <c r="J21" i="3" s="1"/>
  <c r="K22" i="3"/>
  <c r="L22" i="3" s="1"/>
  <c r="M22" i="3" s="1"/>
  <c r="E22" i="3"/>
  <c r="F22" i="3" s="1"/>
  <c r="G22" i="3" s="1"/>
  <c r="B8" i="3"/>
  <c r="L23" i="1"/>
  <c r="L27" i="1"/>
  <c r="L28" i="1"/>
  <c r="L29" i="1"/>
  <c r="L30" i="1"/>
  <c r="K31" i="1"/>
  <c r="E7" i="1"/>
  <c r="E10" i="1" s="1"/>
  <c r="E11" i="1" s="1"/>
  <c r="F7" i="1"/>
  <c r="F10" i="1" s="1"/>
  <c r="F11" i="1" s="1"/>
  <c r="G7" i="1"/>
  <c r="G10" i="1" s="1"/>
  <c r="G11" i="1" s="1"/>
  <c r="H7" i="1"/>
  <c r="H10" i="1" s="1"/>
  <c r="I7" i="1"/>
  <c r="J7" i="1"/>
  <c r="J10" i="1" s="1"/>
  <c r="J11" i="1" s="1"/>
  <c r="K7" i="1"/>
  <c r="K10" i="1" s="1"/>
  <c r="D7" i="1"/>
  <c r="O21" i="3" l="1"/>
  <c r="P21" i="3" s="1"/>
  <c r="N22" i="3"/>
  <c r="Q22" i="3"/>
  <c r="R22" i="3" s="1"/>
  <c r="S22" i="3" s="1"/>
  <c r="T22" i="3"/>
  <c r="U22" i="3" s="1"/>
  <c r="V22" i="3" s="1"/>
  <c r="H22" i="3"/>
  <c r="I22" i="3" s="1"/>
  <c r="J22" i="3" s="1"/>
  <c r="K23" i="3"/>
  <c r="L23" i="3" s="1"/>
  <c r="M23" i="3" s="1"/>
  <c r="E23" i="3"/>
  <c r="F23" i="3" s="1"/>
  <c r="G23" i="3" s="1"/>
  <c r="I10" i="1"/>
  <c r="I11" i="1" s="1"/>
  <c r="H11" i="1"/>
  <c r="K11" i="1"/>
  <c r="K12" i="1" s="1"/>
  <c r="K25" i="1" s="1"/>
  <c r="L31" i="1"/>
  <c r="F17" i="1"/>
  <c r="G17" i="1"/>
  <c r="I17" i="1"/>
  <c r="J17" i="1"/>
  <c r="E17" i="1"/>
  <c r="B9" i="3"/>
  <c r="L7" i="1"/>
  <c r="D10" i="1"/>
  <c r="H24" i="1" l="1"/>
  <c r="O22" i="3"/>
  <c r="P22" i="3" s="1"/>
  <c r="N23" i="3"/>
  <c r="D11" i="1"/>
  <c r="D24" i="1"/>
  <c r="K24" i="1"/>
  <c r="K26" i="1" s="1"/>
  <c r="D15" i="4" s="1"/>
  <c r="T23" i="3"/>
  <c r="U23" i="3" s="1"/>
  <c r="V23" i="3" s="1"/>
  <c r="Q23" i="3"/>
  <c r="R23" i="3" s="1"/>
  <c r="S23" i="3" s="1"/>
  <c r="H23" i="3"/>
  <c r="I23" i="3" s="1"/>
  <c r="J23" i="3" s="1"/>
  <c r="K24" i="3"/>
  <c r="L24" i="3" s="1"/>
  <c r="M24" i="3" s="1"/>
  <c r="E24" i="3"/>
  <c r="F24" i="3" s="1"/>
  <c r="G24" i="3" s="1"/>
  <c r="H12" i="1"/>
  <c r="H25" i="1" s="1"/>
  <c r="D12" i="1"/>
  <c r="D15" i="1" s="1"/>
  <c r="K15" i="1"/>
  <c r="K13" i="1"/>
  <c r="K16" i="1"/>
  <c r="B10" i="3"/>
  <c r="K17" i="1"/>
  <c r="L10" i="1"/>
  <c r="O23" i="3" l="1"/>
  <c r="P23" i="3" s="1"/>
  <c r="N24" i="3"/>
  <c r="Q24" i="3"/>
  <c r="R24" i="3" s="1"/>
  <c r="S24" i="3" s="1"/>
  <c r="T24" i="3"/>
  <c r="U24" i="3" s="1"/>
  <c r="V24" i="3" s="1"/>
  <c r="H24" i="3"/>
  <c r="I24" i="3" s="1"/>
  <c r="J24" i="3" s="1"/>
  <c r="K25" i="3"/>
  <c r="L25" i="3" s="1"/>
  <c r="M25" i="3" s="1"/>
  <c r="E25" i="3"/>
  <c r="F25" i="3" s="1"/>
  <c r="G25" i="3" s="1"/>
  <c r="H16" i="1"/>
  <c r="H15" i="1"/>
  <c r="H13" i="1"/>
  <c r="H17" i="1"/>
  <c r="H26" i="1"/>
  <c r="B11" i="3"/>
  <c r="D13" i="1"/>
  <c r="D25" i="1"/>
  <c r="L25" i="1" s="1"/>
  <c r="K32" i="1"/>
  <c r="D16" i="1"/>
  <c r="D17" i="1"/>
  <c r="L24" i="1"/>
  <c r="K18" i="1"/>
  <c r="L11" i="1"/>
  <c r="O24" i="3" l="1"/>
  <c r="P24" i="3" s="1"/>
  <c r="N25" i="3"/>
  <c r="H32" i="1"/>
  <c r="D9" i="4"/>
  <c r="B12" i="3"/>
  <c r="T25" i="3"/>
  <c r="U25" i="3" s="1"/>
  <c r="V25" i="3" s="1"/>
  <c r="Q25" i="3"/>
  <c r="R25" i="3" s="1"/>
  <c r="S25" i="3" s="1"/>
  <c r="H25" i="3"/>
  <c r="I25" i="3" s="1"/>
  <c r="J25" i="3" s="1"/>
  <c r="K26" i="3"/>
  <c r="L26" i="3" s="1"/>
  <c r="M26" i="3" s="1"/>
  <c r="E26" i="3"/>
  <c r="F26" i="3" s="1"/>
  <c r="G26" i="3" s="1"/>
  <c r="L17" i="1"/>
  <c r="L13" i="1"/>
  <c r="L16" i="1"/>
  <c r="H18" i="1"/>
  <c r="L15" i="1"/>
  <c r="D18" i="1"/>
  <c r="D26" i="1"/>
  <c r="D5" i="4" s="1"/>
  <c r="L12" i="1"/>
  <c r="O25" i="3" l="1"/>
  <c r="P25" i="3" s="1"/>
  <c r="N26" i="3"/>
  <c r="Q26" i="3"/>
  <c r="R26" i="3" s="1"/>
  <c r="S26" i="3" s="1"/>
  <c r="T26" i="3"/>
  <c r="U26" i="3" s="1"/>
  <c r="V26" i="3" s="1"/>
  <c r="B13" i="3"/>
  <c r="H26" i="3"/>
  <c r="I26" i="3" s="1"/>
  <c r="J26" i="3" s="1"/>
  <c r="K27" i="3"/>
  <c r="L27" i="3" s="1"/>
  <c r="M27" i="3" s="1"/>
  <c r="E27" i="3"/>
  <c r="F27" i="3" s="1"/>
  <c r="G27" i="3" s="1"/>
  <c r="L18" i="1"/>
  <c r="L26" i="1"/>
  <c r="D32" i="1"/>
  <c r="L32" i="1" s="1"/>
  <c r="D42" i="1" s="1"/>
  <c r="O26" i="3" l="1"/>
  <c r="P26" i="3" s="1"/>
  <c r="N27" i="3"/>
  <c r="B14" i="3"/>
  <c r="T27" i="3"/>
  <c r="U27" i="3" s="1"/>
  <c r="V27" i="3" s="1"/>
  <c r="Q27" i="3"/>
  <c r="R27" i="3" s="1"/>
  <c r="S27" i="3" s="1"/>
  <c r="H27" i="3"/>
  <c r="I27" i="3" s="1"/>
  <c r="J27" i="3" s="1"/>
  <c r="K28" i="3"/>
  <c r="L28" i="3" s="1"/>
  <c r="M28" i="3" s="1"/>
  <c r="E28" i="3"/>
  <c r="F28" i="3" s="1"/>
  <c r="G28" i="3" s="1"/>
  <c r="B15" i="3"/>
  <c r="O27" i="3" l="1"/>
  <c r="P27" i="3" s="1"/>
  <c r="N28" i="3"/>
  <c r="Q28" i="3"/>
  <c r="R28" i="3" s="1"/>
  <c r="S28" i="3" s="1"/>
  <c r="T28" i="3"/>
  <c r="U28" i="3" s="1"/>
  <c r="V28" i="3" s="1"/>
  <c r="H28" i="3"/>
  <c r="I28" i="3" s="1"/>
  <c r="J28" i="3" s="1"/>
  <c r="K29" i="3"/>
  <c r="L29" i="3" s="1"/>
  <c r="M29" i="3" s="1"/>
  <c r="E29" i="3"/>
  <c r="F29" i="3" s="1"/>
  <c r="G29" i="3" s="1"/>
  <c r="B16" i="3"/>
  <c r="O28" i="3" l="1"/>
  <c r="P28" i="3" s="1"/>
  <c r="N29" i="3"/>
  <c r="T29" i="3"/>
  <c r="U29" i="3" s="1"/>
  <c r="V29" i="3" s="1"/>
  <c r="Q29" i="3"/>
  <c r="R29" i="3" s="1"/>
  <c r="S29" i="3" s="1"/>
  <c r="H29" i="3"/>
  <c r="I29" i="3" s="1"/>
  <c r="J29" i="3" s="1"/>
  <c r="K30" i="3"/>
  <c r="L30" i="3" s="1"/>
  <c r="M30" i="3" s="1"/>
  <c r="E30" i="3"/>
  <c r="F30" i="3" s="1"/>
  <c r="G30" i="3" s="1"/>
  <c r="B17" i="3"/>
  <c r="O29" i="3" l="1"/>
  <c r="P29" i="3" s="1"/>
  <c r="N30" i="3"/>
  <c r="Q30" i="3"/>
  <c r="R30" i="3" s="1"/>
  <c r="S30" i="3" s="1"/>
  <c r="T30" i="3"/>
  <c r="U30" i="3" s="1"/>
  <c r="V30" i="3" s="1"/>
  <c r="H30" i="3"/>
  <c r="I30" i="3" s="1"/>
  <c r="J30" i="3" s="1"/>
  <c r="K31" i="3"/>
  <c r="L31" i="3" s="1"/>
  <c r="M31" i="3" s="1"/>
  <c r="E31" i="3"/>
  <c r="F31" i="3" s="1"/>
  <c r="G31" i="3" s="1"/>
  <c r="B18" i="3"/>
  <c r="O30" i="3" l="1"/>
  <c r="P30" i="3" s="1"/>
  <c r="N31" i="3"/>
  <c r="T31" i="3"/>
  <c r="U31" i="3" s="1"/>
  <c r="V31" i="3" s="1"/>
  <c r="Q31" i="3"/>
  <c r="R31" i="3" s="1"/>
  <c r="S31" i="3" s="1"/>
  <c r="H31" i="3"/>
  <c r="I31" i="3" s="1"/>
  <c r="J31" i="3" s="1"/>
  <c r="K32" i="3"/>
  <c r="L32" i="3" s="1"/>
  <c r="M32" i="3" s="1"/>
  <c r="E32" i="3"/>
  <c r="F32" i="3" s="1"/>
  <c r="G32" i="3" s="1"/>
  <c r="B19" i="3"/>
  <c r="O31" i="3" l="1"/>
  <c r="P31" i="3" s="1"/>
  <c r="N32" i="3"/>
  <c r="Q32" i="3"/>
  <c r="R32" i="3" s="1"/>
  <c r="S32" i="3" s="1"/>
  <c r="T32" i="3"/>
  <c r="U32" i="3" s="1"/>
  <c r="V32" i="3" s="1"/>
  <c r="H32" i="3"/>
  <c r="I32" i="3" s="1"/>
  <c r="J32" i="3" s="1"/>
  <c r="K33" i="3"/>
  <c r="L33" i="3" s="1"/>
  <c r="M33" i="3" s="1"/>
  <c r="E33" i="3"/>
  <c r="F33" i="3" s="1"/>
  <c r="G33" i="3" s="1"/>
  <c r="B20" i="3"/>
  <c r="O32" i="3" l="1"/>
  <c r="P32" i="3" s="1"/>
  <c r="N33" i="3"/>
  <c r="T33" i="3"/>
  <c r="U33" i="3" s="1"/>
  <c r="V33" i="3" s="1"/>
  <c r="Q33" i="3"/>
  <c r="R33" i="3" s="1"/>
  <c r="S33" i="3" s="1"/>
  <c r="H33" i="3"/>
  <c r="I33" i="3" s="1"/>
  <c r="J33" i="3" s="1"/>
  <c r="K34" i="3"/>
  <c r="L34" i="3" s="1"/>
  <c r="M34" i="3" s="1"/>
  <c r="E34" i="3"/>
  <c r="F34" i="3" s="1"/>
  <c r="G34" i="3" s="1"/>
  <c r="B21" i="3"/>
  <c r="O33" i="3" l="1"/>
  <c r="P33" i="3" s="1"/>
  <c r="N34" i="3"/>
  <c r="Q34" i="3"/>
  <c r="R34" i="3" s="1"/>
  <c r="S34" i="3" s="1"/>
  <c r="T34" i="3"/>
  <c r="U34" i="3" s="1"/>
  <c r="V34" i="3" s="1"/>
  <c r="H34" i="3"/>
  <c r="I34" i="3" s="1"/>
  <c r="J34" i="3" s="1"/>
  <c r="K35" i="3"/>
  <c r="L35" i="3" s="1"/>
  <c r="M35" i="3" s="1"/>
  <c r="E35" i="3"/>
  <c r="F35" i="3" s="1"/>
  <c r="G35" i="3" s="1"/>
  <c r="B22" i="3"/>
  <c r="O34" i="3" l="1"/>
  <c r="P34" i="3" s="1"/>
  <c r="N35" i="3"/>
  <c r="T35" i="3"/>
  <c r="U35" i="3" s="1"/>
  <c r="V35" i="3" s="1"/>
  <c r="Q35" i="3"/>
  <c r="R35" i="3" s="1"/>
  <c r="S35" i="3" s="1"/>
  <c r="H35" i="3"/>
  <c r="I35" i="3" s="1"/>
  <c r="J35" i="3" s="1"/>
  <c r="K36" i="3"/>
  <c r="L36" i="3" s="1"/>
  <c r="M36" i="3" s="1"/>
  <c r="E36" i="3"/>
  <c r="F36" i="3" s="1"/>
  <c r="G36" i="3" s="1"/>
  <c r="B23" i="3"/>
  <c r="O35" i="3" l="1"/>
  <c r="P35" i="3" s="1"/>
  <c r="N36" i="3"/>
  <c r="Q36" i="3"/>
  <c r="R36" i="3" s="1"/>
  <c r="S36" i="3" s="1"/>
  <c r="T36" i="3"/>
  <c r="U36" i="3" s="1"/>
  <c r="V36" i="3" s="1"/>
  <c r="H36" i="3"/>
  <c r="I36" i="3" s="1"/>
  <c r="J36" i="3" s="1"/>
  <c r="K37" i="3"/>
  <c r="L37" i="3" s="1"/>
  <c r="M37" i="3" s="1"/>
  <c r="E37" i="3"/>
  <c r="F37" i="3" s="1"/>
  <c r="G37" i="3" s="1"/>
  <c r="B24" i="3"/>
  <c r="O36" i="3" l="1"/>
  <c r="P36" i="3" s="1"/>
  <c r="N37" i="3"/>
  <c r="T37" i="3"/>
  <c r="U37" i="3" s="1"/>
  <c r="V37" i="3" s="1"/>
  <c r="Q37" i="3"/>
  <c r="R37" i="3" s="1"/>
  <c r="S37" i="3" s="1"/>
  <c r="H37" i="3"/>
  <c r="I37" i="3" s="1"/>
  <c r="J37" i="3" s="1"/>
  <c r="K38" i="3"/>
  <c r="L38" i="3" s="1"/>
  <c r="M38" i="3" s="1"/>
  <c r="E38" i="3"/>
  <c r="F38" i="3" s="1"/>
  <c r="G38" i="3" s="1"/>
  <c r="B25" i="3"/>
  <c r="O37" i="3" l="1"/>
  <c r="P37" i="3" s="1"/>
  <c r="N38" i="3"/>
  <c r="Q38" i="3"/>
  <c r="R38" i="3" s="1"/>
  <c r="S38" i="3" s="1"/>
  <c r="T38" i="3"/>
  <c r="U38" i="3" s="1"/>
  <c r="V38" i="3" s="1"/>
  <c r="H38" i="3"/>
  <c r="I38" i="3" s="1"/>
  <c r="J38" i="3" s="1"/>
  <c r="K39" i="3"/>
  <c r="L39" i="3" s="1"/>
  <c r="M39" i="3" s="1"/>
  <c r="E39" i="3"/>
  <c r="F39" i="3" s="1"/>
  <c r="G39" i="3" s="1"/>
  <c r="B26" i="3"/>
  <c r="O38" i="3" l="1"/>
  <c r="P38" i="3" s="1"/>
  <c r="N39" i="3"/>
  <c r="T39" i="3"/>
  <c r="U39" i="3" s="1"/>
  <c r="V39" i="3" s="1"/>
  <c r="Q39" i="3"/>
  <c r="R39" i="3" s="1"/>
  <c r="S39" i="3" s="1"/>
  <c r="H39" i="3"/>
  <c r="I39" i="3" s="1"/>
  <c r="J39" i="3" s="1"/>
  <c r="K40" i="3"/>
  <c r="L40" i="3" s="1"/>
  <c r="M40" i="3" s="1"/>
  <c r="E40" i="3"/>
  <c r="F40" i="3" s="1"/>
  <c r="G40" i="3" s="1"/>
  <c r="B27" i="3"/>
  <c r="O39" i="3" l="1"/>
  <c r="P39" i="3" s="1"/>
  <c r="N40" i="3"/>
  <c r="Q40" i="3"/>
  <c r="R40" i="3" s="1"/>
  <c r="S40" i="3" s="1"/>
  <c r="T40" i="3"/>
  <c r="U40" i="3" s="1"/>
  <c r="V40" i="3" s="1"/>
  <c r="H40" i="3"/>
  <c r="I40" i="3" s="1"/>
  <c r="J40" i="3" s="1"/>
  <c r="K41" i="3"/>
  <c r="L41" i="3" s="1"/>
  <c r="M41" i="3" s="1"/>
  <c r="E41" i="3"/>
  <c r="F41" i="3" s="1"/>
  <c r="G41" i="3" s="1"/>
  <c r="B28" i="3"/>
  <c r="O40" i="3" l="1"/>
  <c r="P40" i="3" s="1"/>
  <c r="N41" i="3"/>
  <c r="T41" i="3"/>
  <c r="U41" i="3" s="1"/>
  <c r="V41" i="3" s="1"/>
  <c r="Q41" i="3"/>
  <c r="R41" i="3" s="1"/>
  <c r="S41" i="3" s="1"/>
  <c r="H41" i="3"/>
  <c r="I41" i="3" s="1"/>
  <c r="J41" i="3" s="1"/>
  <c r="K42" i="3"/>
  <c r="L42" i="3" s="1"/>
  <c r="M42" i="3" s="1"/>
  <c r="E42" i="3"/>
  <c r="F42" i="3" s="1"/>
  <c r="G42" i="3" s="1"/>
  <c r="B29" i="3"/>
  <c r="O41" i="3" l="1"/>
  <c r="P41" i="3" s="1"/>
  <c r="N42" i="3"/>
  <c r="Q42" i="3"/>
  <c r="R42" i="3" s="1"/>
  <c r="S42" i="3" s="1"/>
  <c r="T42" i="3"/>
  <c r="U42" i="3" s="1"/>
  <c r="V42" i="3" s="1"/>
  <c r="H42" i="3"/>
  <c r="I42" i="3" s="1"/>
  <c r="J42" i="3" s="1"/>
  <c r="K43" i="3"/>
  <c r="L43" i="3" s="1"/>
  <c r="M43" i="3" s="1"/>
  <c r="E43" i="3"/>
  <c r="F43" i="3" s="1"/>
  <c r="G43" i="3" s="1"/>
  <c r="B30" i="3"/>
  <c r="O42" i="3" l="1"/>
  <c r="P42" i="3" s="1"/>
  <c r="N43" i="3"/>
  <c r="T43" i="3"/>
  <c r="U43" i="3" s="1"/>
  <c r="V43" i="3" s="1"/>
  <c r="Q43" i="3"/>
  <c r="R43" i="3" s="1"/>
  <c r="S43" i="3" s="1"/>
  <c r="H43" i="3"/>
  <c r="I43" i="3" s="1"/>
  <c r="J43" i="3" s="1"/>
  <c r="K44" i="3"/>
  <c r="L44" i="3" s="1"/>
  <c r="M44" i="3" s="1"/>
  <c r="E44" i="3"/>
  <c r="F44" i="3" s="1"/>
  <c r="G44" i="3" s="1"/>
  <c r="B31" i="3"/>
  <c r="O43" i="3" l="1"/>
  <c r="P43" i="3" s="1"/>
  <c r="N44" i="3"/>
  <c r="Q44" i="3"/>
  <c r="R44" i="3" s="1"/>
  <c r="S44" i="3" s="1"/>
  <c r="T44" i="3"/>
  <c r="U44" i="3" s="1"/>
  <c r="V44" i="3" s="1"/>
  <c r="H44" i="3"/>
  <c r="I44" i="3" s="1"/>
  <c r="J44" i="3" s="1"/>
  <c r="K45" i="3"/>
  <c r="L45" i="3" s="1"/>
  <c r="M45" i="3" s="1"/>
  <c r="E45" i="3"/>
  <c r="F45" i="3" s="1"/>
  <c r="G45" i="3" s="1"/>
  <c r="B32" i="3"/>
  <c r="O44" i="3" l="1"/>
  <c r="P44" i="3" s="1"/>
  <c r="N45" i="3"/>
  <c r="T45" i="3"/>
  <c r="U45" i="3" s="1"/>
  <c r="V45" i="3" s="1"/>
  <c r="Q45" i="3"/>
  <c r="R45" i="3" s="1"/>
  <c r="S45" i="3" s="1"/>
  <c r="H45" i="3"/>
  <c r="I45" i="3" s="1"/>
  <c r="J45" i="3" s="1"/>
  <c r="K46" i="3"/>
  <c r="L46" i="3" s="1"/>
  <c r="M46" i="3" s="1"/>
  <c r="E46" i="3"/>
  <c r="F46" i="3" s="1"/>
  <c r="G46" i="3" s="1"/>
  <c r="B33" i="3"/>
  <c r="O45" i="3" l="1"/>
  <c r="P45" i="3" s="1"/>
  <c r="N46" i="3"/>
  <c r="Q46" i="3"/>
  <c r="R46" i="3" s="1"/>
  <c r="S46" i="3" s="1"/>
  <c r="T46" i="3"/>
  <c r="U46" i="3" s="1"/>
  <c r="V46" i="3" s="1"/>
  <c r="H46" i="3"/>
  <c r="I46" i="3" s="1"/>
  <c r="J46" i="3" s="1"/>
  <c r="K47" i="3"/>
  <c r="L47" i="3" s="1"/>
  <c r="M47" i="3" s="1"/>
  <c r="E47" i="3"/>
  <c r="F47" i="3" s="1"/>
  <c r="G47" i="3" s="1"/>
  <c r="B34" i="3"/>
  <c r="O46" i="3" l="1"/>
  <c r="P46" i="3" s="1"/>
  <c r="N47" i="3"/>
  <c r="T47" i="3"/>
  <c r="U47" i="3" s="1"/>
  <c r="V47" i="3" s="1"/>
  <c r="Q47" i="3"/>
  <c r="R47" i="3" s="1"/>
  <c r="S47" i="3" s="1"/>
  <c r="H47" i="3"/>
  <c r="I47" i="3" s="1"/>
  <c r="J47" i="3" s="1"/>
  <c r="K48" i="3"/>
  <c r="L48" i="3" s="1"/>
  <c r="M48" i="3" s="1"/>
  <c r="E48" i="3"/>
  <c r="F48" i="3" s="1"/>
  <c r="G48" i="3" s="1"/>
  <c r="B35" i="3"/>
  <c r="O47" i="3" l="1"/>
  <c r="P47" i="3" s="1"/>
  <c r="N48" i="3"/>
  <c r="Q48" i="3"/>
  <c r="R48" i="3" s="1"/>
  <c r="S48" i="3" s="1"/>
  <c r="T48" i="3"/>
  <c r="U48" i="3" s="1"/>
  <c r="V48" i="3" s="1"/>
  <c r="H48" i="3"/>
  <c r="I48" i="3" s="1"/>
  <c r="J48" i="3" s="1"/>
  <c r="K49" i="3"/>
  <c r="L49" i="3" s="1"/>
  <c r="M49" i="3" s="1"/>
  <c r="E49" i="3"/>
  <c r="F49" i="3" s="1"/>
  <c r="G49" i="3" s="1"/>
  <c r="B36" i="3"/>
  <c r="O48" i="3" l="1"/>
  <c r="P48" i="3" s="1"/>
  <c r="N49" i="3"/>
  <c r="T49" i="3"/>
  <c r="U49" i="3" s="1"/>
  <c r="V49" i="3" s="1"/>
  <c r="Q49" i="3"/>
  <c r="R49" i="3" s="1"/>
  <c r="S49" i="3" s="1"/>
  <c r="H49" i="3"/>
  <c r="I49" i="3" s="1"/>
  <c r="J49" i="3" s="1"/>
  <c r="K50" i="3"/>
  <c r="L50" i="3" s="1"/>
  <c r="M50" i="3" s="1"/>
  <c r="E50" i="3"/>
  <c r="F50" i="3" s="1"/>
  <c r="G50" i="3" s="1"/>
  <c r="B37" i="3"/>
  <c r="O49" i="3" l="1"/>
  <c r="P49" i="3" s="1"/>
  <c r="N50" i="3"/>
  <c r="Q50" i="3"/>
  <c r="R50" i="3" s="1"/>
  <c r="S50" i="3" s="1"/>
  <c r="T50" i="3"/>
  <c r="U50" i="3" s="1"/>
  <c r="V50" i="3" s="1"/>
  <c r="H50" i="3"/>
  <c r="I50" i="3" s="1"/>
  <c r="J50" i="3" s="1"/>
  <c r="K51" i="3"/>
  <c r="L51" i="3" s="1"/>
  <c r="M51" i="3" s="1"/>
  <c r="E51" i="3"/>
  <c r="F51" i="3" s="1"/>
  <c r="G51" i="3" s="1"/>
  <c r="B38" i="3"/>
  <c r="O50" i="3" l="1"/>
  <c r="P50" i="3" s="1"/>
  <c r="N51" i="3"/>
  <c r="T51" i="3"/>
  <c r="U51" i="3" s="1"/>
  <c r="V51" i="3" s="1"/>
  <c r="Q51" i="3"/>
  <c r="R51" i="3" s="1"/>
  <c r="S51" i="3" s="1"/>
  <c r="H51" i="3"/>
  <c r="I51" i="3" s="1"/>
  <c r="J51" i="3" s="1"/>
  <c r="K52" i="3"/>
  <c r="E52" i="3"/>
  <c r="F52" i="3" s="1"/>
  <c r="G52" i="3" s="1"/>
  <c r="B39" i="3"/>
  <c r="K53" i="3" l="1"/>
  <c r="L53" i="3" s="1"/>
  <c r="M53" i="3" s="1"/>
  <c r="L52" i="3"/>
  <c r="M52" i="3" s="1"/>
  <c r="O51" i="3"/>
  <c r="P51" i="3" s="1"/>
  <c r="N52" i="3"/>
  <c r="E53" i="3"/>
  <c r="F53" i="3" s="1"/>
  <c r="G53" i="3" s="1"/>
  <c r="K54" i="3"/>
  <c r="L54" i="3" s="1"/>
  <c r="M54" i="3" s="1"/>
  <c r="Q52" i="3"/>
  <c r="T52" i="3"/>
  <c r="H52" i="3"/>
  <c r="B40" i="3"/>
  <c r="Q53" i="3" l="1"/>
  <c r="R53" i="3" s="1"/>
  <c r="S53" i="3" s="1"/>
  <c r="R52" i="3"/>
  <c r="S52" i="3" s="1"/>
  <c r="N53" i="3"/>
  <c r="O52" i="3"/>
  <c r="P52" i="3" s="1"/>
  <c r="H53" i="3"/>
  <c r="I53" i="3" s="1"/>
  <c r="J53" i="3" s="1"/>
  <c r="I52" i="3"/>
  <c r="J52" i="3" s="1"/>
  <c r="T53" i="3"/>
  <c r="U53" i="3" s="1"/>
  <c r="V53" i="3" s="1"/>
  <c r="U52" i="3"/>
  <c r="V52" i="3" s="1"/>
  <c r="Q54" i="3"/>
  <c r="R54" i="3" s="1"/>
  <c r="S54" i="3" s="1"/>
  <c r="K55" i="3"/>
  <c r="L55" i="3" s="1"/>
  <c r="M55" i="3" s="1"/>
  <c r="E54" i="3"/>
  <c r="F54" i="3" s="1"/>
  <c r="G54" i="3" s="1"/>
  <c r="B41" i="3"/>
  <c r="H54" i="3" l="1"/>
  <c r="I54" i="3" s="1"/>
  <c r="J54" i="3" s="1"/>
  <c r="O53" i="3"/>
  <c r="P53" i="3" s="1"/>
  <c r="N54" i="3"/>
  <c r="T54" i="3"/>
  <c r="U54" i="3" s="1"/>
  <c r="V54" i="3" s="1"/>
  <c r="K56" i="3"/>
  <c r="L56" i="3" s="1"/>
  <c r="M56" i="3" s="1"/>
  <c r="H55" i="3"/>
  <c r="I55" i="3" s="1"/>
  <c r="J55" i="3" s="1"/>
  <c r="E55" i="3"/>
  <c r="F55" i="3" s="1"/>
  <c r="G55" i="3" s="1"/>
  <c r="Q55" i="3"/>
  <c r="R55" i="3" s="1"/>
  <c r="S55" i="3" s="1"/>
  <c r="B42" i="3"/>
  <c r="O54" i="3" l="1"/>
  <c r="P54" i="3" s="1"/>
  <c r="N55" i="3"/>
  <c r="T55" i="3"/>
  <c r="U55" i="3" s="1"/>
  <c r="V55" i="3" s="1"/>
  <c r="E56" i="3"/>
  <c r="F56" i="3" s="1"/>
  <c r="G56" i="3" s="1"/>
  <c r="Q56" i="3"/>
  <c r="R56" i="3" s="1"/>
  <c r="S56" i="3" s="1"/>
  <c r="H56" i="3"/>
  <c r="I56" i="3" s="1"/>
  <c r="J56" i="3" s="1"/>
  <c r="T56" i="3"/>
  <c r="U56" i="3" s="1"/>
  <c r="V56" i="3" s="1"/>
  <c r="K57" i="3"/>
  <c r="L57" i="3" s="1"/>
  <c r="M57" i="3" s="1"/>
  <c r="B43" i="3"/>
  <c r="O55" i="3" l="1"/>
  <c r="P55" i="3" s="1"/>
  <c r="N56" i="3"/>
  <c r="H57" i="3"/>
  <c r="I57" i="3" s="1"/>
  <c r="J57" i="3" s="1"/>
  <c r="Q57" i="3"/>
  <c r="R57" i="3" s="1"/>
  <c r="S57" i="3" s="1"/>
  <c r="K58" i="3"/>
  <c r="L58" i="3" s="1"/>
  <c r="M58" i="3" s="1"/>
  <c r="M59" i="3" s="1"/>
  <c r="T57" i="3"/>
  <c r="U57" i="3" s="1"/>
  <c r="V57" i="3" s="1"/>
  <c r="E57" i="3"/>
  <c r="F57" i="3" s="1"/>
  <c r="G57" i="3" s="1"/>
  <c r="B44" i="3"/>
  <c r="O56" i="3" l="1"/>
  <c r="P56" i="3" s="1"/>
  <c r="N57" i="3"/>
  <c r="E58" i="3"/>
  <c r="F58" i="3" s="1"/>
  <c r="G58" i="3" s="1"/>
  <c r="T58" i="3"/>
  <c r="U58" i="3" s="1"/>
  <c r="V58" i="3" s="1"/>
  <c r="Q58" i="3"/>
  <c r="R58" i="3" s="1"/>
  <c r="S58" i="3" s="1"/>
  <c r="H58" i="3"/>
  <c r="I58" i="3" s="1"/>
  <c r="J58" i="3" s="1"/>
  <c r="B45" i="3"/>
  <c r="O57" i="3" l="1"/>
  <c r="P57" i="3" s="1"/>
  <c r="N58" i="3"/>
  <c r="V59" i="3"/>
  <c r="S59" i="3"/>
  <c r="G59" i="3"/>
  <c r="J59" i="3"/>
  <c r="B46" i="3"/>
  <c r="O58" i="3" l="1"/>
  <c r="P58" i="3" s="1"/>
  <c r="P59" i="3" s="1"/>
  <c r="B47" i="3"/>
  <c r="B48" i="3" l="1"/>
  <c r="B49" i="3" l="1"/>
  <c r="B50" i="3" l="1"/>
  <c r="B51" i="3" l="1"/>
  <c r="B52" i="3" l="1"/>
  <c r="B53" i="3" l="1"/>
  <c r="B54" i="3" l="1"/>
  <c r="B55" i="3" l="1"/>
  <c r="B56" i="3" l="1"/>
  <c r="B57" i="3" l="1"/>
  <c r="B58" i="3" l="1"/>
  <c r="E8" i="2" l="1"/>
  <c r="E9" i="2" l="1"/>
  <c r="D14" i="4"/>
  <c r="D13" i="4" s="1"/>
  <c r="D4" i="4"/>
  <c r="D3" i="4" s="1"/>
  <c r="D8" i="4"/>
  <c r="D7" i="4" s="1"/>
  <c r="D41" i="1"/>
  <c r="D44" i="1" s="1"/>
  <c r="D48" i="1" l="1"/>
  <c r="D47" i="1"/>
  <c r="G15" i="6"/>
  <c r="F16" i="6"/>
  <c r="G14" i="6"/>
  <c r="D17" i="4"/>
  <c r="F5" i="6" s="1"/>
  <c r="G16" i="6"/>
  <c r="F14" i="6"/>
  <c r="F15" i="6"/>
  <c r="G5" i="6" l="1"/>
  <c r="G9" i="6"/>
  <c r="G10" i="6"/>
  <c r="G12" i="6"/>
  <c r="F12" i="6"/>
  <c r="F7" i="6"/>
  <c r="G7" i="6"/>
  <c r="G8" i="6"/>
  <c r="F8" i="6"/>
  <c r="G6" i="6"/>
  <c r="F6" i="6"/>
  <c r="F13" i="6"/>
  <c r="G13" i="6"/>
  <c r="F9" i="6"/>
  <c r="F11" i="6"/>
  <c r="G11" i="6"/>
  <c r="F10" i="6"/>
  <c r="K14" i="6"/>
  <c r="J16" i="6"/>
  <c r="K15" i="6"/>
  <c r="K16" i="6"/>
  <c r="J14" i="6"/>
  <c r="J15" i="6"/>
  <c r="H10" i="6" l="1"/>
  <c r="J11" i="6"/>
  <c r="K10" i="6"/>
  <c r="I7" i="6"/>
  <c r="H8" i="6"/>
  <c r="K11" i="6"/>
  <c r="H11" i="6"/>
  <c r="J9" i="6"/>
  <c r="K6" i="6"/>
  <c r="I11" i="6"/>
  <c r="I6" i="6"/>
  <c r="J7" i="6"/>
  <c r="K9" i="6"/>
  <c r="K8" i="6"/>
  <c r="I5" i="6"/>
  <c r="J12" i="6"/>
  <c r="I8" i="6"/>
  <c r="K13" i="6"/>
  <c r="J10" i="6"/>
  <c r="H9" i="6"/>
  <c r="H6" i="6"/>
  <c r="I9" i="6"/>
  <c r="K7" i="6"/>
  <c r="J8" i="6"/>
  <c r="I13" i="6"/>
  <c r="H13" i="6"/>
  <c r="J13" i="6"/>
  <c r="I10" i="6"/>
  <c r="H7" i="6"/>
  <c r="H12" i="6"/>
  <c r="J6" i="6"/>
  <c r="J5" i="6"/>
  <c r="H5" i="6"/>
  <c r="K5" i="6"/>
  <c r="K12" i="6"/>
  <c r="I12" i="6"/>
  <c r="I14" i="6"/>
  <c r="H14" i="6"/>
  <c r="I15" i="6" l="1"/>
  <c r="H15" i="6"/>
  <c r="I16" i="6" l="1"/>
  <c r="H16" i="6"/>
</calcChain>
</file>

<file path=xl/sharedStrings.xml><?xml version="1.0" encoding="utf-8"?>
<sst xmlns="http://schemas.openxmlformats.org/spreadsheetml/2006/main" count="341" uniqueCount="167">
  <si>
    <t>Direct materials</t>
  </si>
  <si>
    <t>Construction</t>
  </si>
  <si>
    <t>Direct Field Cost</t>
  </si>
  <si>
    <t>Other costs</t>
  </si>
  <si>
    <t>EPC services</t>
  </si>
  <si>
    <t>Total installed cost</t>
  </si>
  <si>
    <t>Total plant cost</t>
  </si>
  <si>
    <t>Absorber section</t>
  </si>
  <si>
    <t>Regeneration section</t>
  </si>
  <si>
    <t>Power plant</t>
  </si>
  <si>
    <t>Cooling towers</t>
  </si>
  <si>
    <t>Waste water treatment</t>
  </si>
  <si>
    <t>Interconnecting</t>
  </si>
  <si>
    <t>Flue gas desulph. unit</t>
  </si>
  <si>
    <t>Total cost</t>
  </si>
  <si>
    <t>Total capital requirement</t>
  </si>
  <si>
    <t>Total annual operating cost</t>
  </si>
  <si>
    <t>Annual fixed operating cost</t>
  </si>
  <si>
    <t>Annual variable operating cost</t>
  </si>
  <si>
    <t>Annualized CAPEX</t>
  </si>
  <si>
    <t>Annual OPEX</t>
  </si>
  <si>
    <t>Annualized total cost</t>
  </si>
  <si>
    <t>Year</t>
  </si>
  <si>
    <t>Value</t>
  </si>
  <si>
    <t>Discounted value</t>
  </si>
  <si>
    <t>Number of years of operation</t>
  </si>
  <si>
    <t>Discount rate</t>
  </si>
  <si>
    <t>Reference year</t>
  </si>
  <si>
    <t>%</t>
  </si>
  <si>
    <t>-</t>
  </si>
  <si>
    <t>Annualization factor</t>
  </si>
  <si>
    <t>Allocation</t>
  </si>
  <si>
    <t>Contingencies</t>
  </si>
  <si>
    <t>Interest during construction</t>
  </si>
  <si>
    <t>CAPEX</t>
  </si>
  <si>
    <t>Fixed OPEX</t>
  </si>
  <si>
    <t>Variable OPEX</t>
  </si>
  <si>
    <t>Total</t>
  </si>
  <si>
    <t>Utilities</t>
  </si>
  <si>
    <t>Labour cost</t>
  </si>
  <si>
    <t>Annual maintenance</t>
  </si>
  <si>
    <t>Other</t>
  </si>
  <si>
    <t>Natural gas consumption</t>
  </si>
  <si>
    <t>Chemical and catalyst</t>
  </si>
  <si>
    <t>Raw process water (make-up)</t>
  </si>
  <si>
    <t>Waste disposal</t>
  </si>
  <si>
    <t>%TPC</t>
  </si>
  <si>
    <t>Owner cost</t>
  </si>
  <si>
    <t>Overnight factor</t>
  </si>
  <si>
    <t>Maintenance and operating support labor cost</t>
  </si>
  <si>
    <t>months to include trainings</t>
  </si>
  <si>
    <t>months</t>
  </si>
  <si>
    <t>Fuel cost</t>
  </si>
  <si>
    <t>% full load for 1 month</t>
  </si>
  <si>
    <t>Modifications</t>
  </si>
  <si>
    <t>Maintenance materials, chemical, consumables and disposal costs</t>
  </si>
  <si>
    <t>Spare parts</t>
  </si>
  <si>
    <t>Inventory of fuel and chemicals</t>
  </si>
  <si>
    <t>Start-up cost</t>
  </si>
  <si>
    <t>Allocation of construction costs</t>
  </si>
  <si>
    <t>Cooling tower and waste water treatment</t>
  </si>
  <si>
    <t>Interconnected</t>
  </si>
  <si>
    <t>Annual material maintenance cost</t>
  </si>
  <si>
    <t>Share annual material maintenance cost in the overall annual maintenance cost</t>
  </si>
  <si>
    <t>Other fixed cost</t>
  </si>
  <si>
    <t>Natural gas cost</t>
  </si>
  <si>
    <t>Calcium carbonate cost</t>
  </si>
  <si>
    <t>Pure MEA solvent cost</t>
  </si>
  <si>
    <t>Molecular sieve adsorbant cost</t>
  </si>
  <si>
    <t>Raw process water make-up cost</t>
  </si>
  <si>
    <t>MEA sludge disposal cost</t>
  </si>
  <si>
    <t>$/GJ</t>
  </si>
  <si>
    <t>$/t</t>
  </si>
  <si>
    <t>Molecular sieve adsorbant disposal cost</t>
  </si>
  <si>
    <t>Average fully burdened salary</t>
  </si>
  <si>
    <t>$/y</t>
  </si>
  <si>
    <t>Overall CAPEX (k$)</t>
  </si>
  <si>
    <t>Data for calculation of CAPEX</t>
  </si>
  <si>
    <t>Data for calculation of annual fixed OPEX</t>
  </si>
  <si>
    <t>Data for calculation of annual variable OPEX</t>
  </si>
  <si>
    <r>
      <t>CO</t>
    </r>
    <r>
      <rPr>
        <vertAlign val="subscript"/>
        <sz val="11"/>
        <color rgb="FF006100"/>
        <rFont val="Calibri"/>
        <family val="2"/>
        <scheme val="minor"/>
      </rPr>
      <t>2</t>
    </r>
    <r>
      <rPr>
        <sz val="11"/>
        <color rgb="FF006100"/>
        <rFont val="Calibri"/>
        <family val="2"/>
        <scheme val="minor"/>
      </rPr>
      <t xml:space="preserve"> capture and conditioning</t>
    </r>
  </si>
  <si>
    <t>Annual overall maintenance cost</t>
  </si>
  <si>
    <t>Annual OPEX (k$/y)</t>
  </si>
  <si>
    <t>Project valuation</t>
  </si>
  <si>
    <t>OPEX</t>
  </si>
  <si>
    <t>Variation range</t>
  </si>
  <si>
    <t>Project contingencies</t>
  </si>
  <si>
    <r>
      <t>CO</t>
    </r>
    <r>
      <rPr>
        <b/>
        <vertAlign val="subscript"/>
        <sz val="11"/>
        <color theme="0"/>
        <rFont val="Calibri"/>
        <family val="2"/>
        <scheme val="minor"/>
      </rPr>
      <t>2</t>
    </r>
    <r>
      <rPr>
        <b/>
        <sz val="11"/>
        <color theme="0"/>
        <rFont val="Calibri"/>
        <family val="2"/>
        <scheme val="minor"/>
      </rPr>
      <t xml:space="preserve"> capture and compression</t>
    </r>
  </si>
  <si>
    <r>
      <t>CO</t>
    </r>
    <r>
      <rPr>
        <vertAlign val="subscript"/>
        <sz val="11"/>
        <color theme="0"/>
        <rFont val="Calibri"/>
        <family val="2"/>
        <scheme val="minor"/>
      </rPr>
      <t>2</t>
    </r>
    <r>
      <rPr>
        <sz val="11"/>
        <color theme="0"/>
        <rFont val="Calibri"/>
        <family val="2"/>
        <scheme val="minor"/>
      </rPr>
      <t xml:space="preserve"> compression</t>
    </r>
  </si>
  <si>
    <t>$/MWh</t>
  </si>
  <si>
    <t>Valorisation of excess power</t>
  </si>
  <si>
    <t>Data for valorisation of excess power</t>
  </si>
  <si>
    <t>Revenues</t>
  </si>
  <si>
    <r>
      <t>Annual amount of CO</t>
    </r>
    <r>
      <rPr>
        <vertAlign val="subscript"/>
        <sz val="11"/>
        <color rgb="FF006100"/>
        <rFont val="Calibri"/>
        <family val="2"/>
        <scheme val="minor"/>
      </rPr>
      <t>2</t>
    </r>
    <r>
      <rPr>
        <sz val="11"/>
        <color rgb="FF006100"/>
        <rFont val="Calibri"/>
        <family val="2"/>
        <scheme val="minor"/>
      </rPr>
      <t xml:space="preserve"> captured</t>
    </r>
  </si>
  <si>
    <r>
      <t>Annual amount of CO</t>
    </r>
    <r>
      <rPr>
        <vertAlign val="subscript"/>
        <sz val="11"/>
        <color rgb="FF006100"/>
        <rFont val="Calibri"/>
        <family val="2"/>
        <scheme val="minor"/>
      </rPr>
      <t>2</t>
    </r>
    <r>
      <rPr>
        <sz val="11"/>
        <color rgb="FF006100"/>
        <rFont val="Calibri"/>
        <family val="2"/>
        <scheme val="minor"/>
      </rPr>
      <t xml:space="preserve"> avoided</t>
    </r>
  </si>
  <si>
    <r>
      <t>kt</t>
    </r>
    <r>
      <rPr>
        <vertAlign val="subscript"/>
        <sz val="11"/>
        <color rgb="FF006100"/>
        <rFont val="Calibri"/>
        <family val="2"/>
        <scheme val="minor"/>
      </rPr>
      <t>CO2</t>
    </r>
    <r>
      <rPr>
        <sz val="11"/>
        <color rgb="FF006100"/>
        <rFont val="Calibri"/>
        <family val="2"/>
        <scheme val="minor"/>
      </rPr>
      <t>/y</t>
    </r>
  </si>
  <si>
    <t>Number of operating hours</t>
  </si>
  <si>
    <r>
      <t>t</t>
    </r>
    <r>
      <rPr>
        <vertAlign val="subscript"/>
        <sz val="11"/>
        <color rgb="FF006100"/>
        <rFont val="Calibri"/>
        <family val="2"/>
        <scheme val="minor"/>
      </rPr>
      <t>CO2</t>
    </r>
    <r>
      <rPr>
        <sz val="11"/>
        <color rgb="FF006100"/>
        <rFont val="Calibri"/>
        <family val="2"/>
        <scheme val="minor"/>
      </rPr>
      <t>/h</t>
    </r>
  </si>
  <si>
    <r>
      <t>Amount of CO</t>
    </r>
    <r>
      <rPr>
        <vertAlign val="subscript"/>
        <sz val="11"/>
        <color rgb="FF006100"/>
        <rFont val="Calibri"/>
        <family val="2"/>
        <scheme val="minor"/>
      </rPr>
      <t>2</t>
    </r>
    <r>
      <rPr>
        <sz val="11"/>
        <color rgb="FF006100"/>
        <rFont val="Calibri"/>
        <family val="2"/>
        <scheme val="minor"/>
      </rPr>
      <t xml:space="preserve"> emitted by power plant</t>
    </r>
  </si>
  <si>
    <t>h</t>
  </si>
  <si>
    <r>
      <t>CO</t>
    </r>
    <r>
      <rPr>
        <b/>
        <u/>
        <vertAlign val="subscript"/>
        <sz val="11"/>
        <color theme="1"/>
        <rFont val="Calibri"/>
        <family val="2"/>
        <scheme val="minor"/>
      </rPr>
      <t>2</t>
    </r>
    <r>
      <rPr>
        <b/>
        <u/>
        <sz val="11"/>
        <color theme="1"/>
        <rFont val="Calibri"/>
        <family val="2"/>
        <scheme val="minor"/>
      </rPr>
      <t xml:space="preserve"> captured and avoided streams</t>
    </r>
  </si>
  <si>
    <t>Total number of employees</t>
  </si>
  <si>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CO2,avoided</t>
    </r>
    <r>
      <rPr>
        <b/>
        <sz val="11"/>
        <color theme="0"/>
        <rFont val="Calibri"/>
        <family val="2"/>
        <scheme val="minor"/>
      </rPr>
      <t>)</t>
    </r>
  </si>
  <si>
    <t>Average annual utilisation rate</t>
  </si>
  <si>
    <t>%TCR/y</t>
  </si>
  <si>
    <t>%TIC</t>
  </si>
  <si>
    <t>Yes</t>
  </si>
  <si>
    <t>No</t>
  </si>
  <si>
    <t>Natural gas minus excess power revenues</t>
  </si>
  <si>
    <r>
      <t>CO</t>
    </r>
    <r>
      <rPr>
        <vertAlign val="subscript"/>
        <sz val="11"/>
        <color rgb="FF006100"/>
        <rFont val="Calibri"/>
        <family val="2"/>
        <scheme val="minor"/>
      </rPr>
      <t>2</t>
    </r>
    <r>
      <rPr>
        <sz val="11"/>
        <color rgb="FF006100"/>
        <rFont val="Calibri"/>
        <family val="2"/>
        <scheme val="minor"/>
      </rPr>
      <t xml:space="preserve"> capture and compression</t>
    </r>
  </si>
  <si>
    <r>
      <t>Cost of retrofitting CO</t>
    </r>
    <r>
      <rPr>
        <b/>
        <vertAlign val="subscript"/>
        <sz val="11"/>
        <color theme="0"/>
        <rFont val="Calibri"/>
        <family val="2"/>
        <scheme val="minor"/>
      </rPr>
      <t>2</t>
    </r>
    <r>
      <rPr>
        <b/>
        <sz val="11"/>
        <color theme="0"/>
        <rFont val="Calibri"/>
        <family val="2"/>
        <scheme val="minor"/>
      </rPr>
      <t xml:space="preserve"> capture ($/t</t>
    </r>
    <r>
      <rPr>
        <b/>
        <vertAlign val="subscript"/>
        <sz val="11"/>
        <color theme="0"/>
        <rFont val="Calibri"/>
        <family val="2"/>
        <scheme val="minor"/>
      </rPr>
      <t>CO2,captured</t>
    </r>
    <r>
      <rPr>
        <b/>
        <sz val="11"/>
        <color theme="0"/>
        <rFont val="Calibri"/>
        <family val="2"/>
        <scheme val="minor"/>
      </rPr>
      <t>)</t>
    </r>
  </si>
  <si>
    <t>Other variable OPEX</t>
  </si>
  <si>
    <t xml:space="preserve">Other variable OPEX </t>
  </si>
  <si>
    <t>Project duration</t>
  </si>
  <si>
    <t>Utilisation rate</t>
  </si>
  <si>
    <t>y</t>
  </si>
  <si>
    <t>Project duration (y)</t>
  </si>
  <si>
    <t>Discount rate (%)</t>
  </si>
  <si>
    <t>Utilisation rate (%)</t>
  </si>
  <si>
    <r>
      <t>Amount of CO</t>
    </r>
    <r>
      <rPr>
        <vertAlign val="subscript"/>
        <sz val="11"/>
        <color rgb="FF006100"/>
        <rFont val="Calibri"/>
        <family val="2"/>
        <scheme val="minor"/>
      </rPr>
      <t>2</t>
    </r>
    <r>
      <rPr>
        <sz val="11"/>
        <color rgb="FF006100"/>
        <rFont val="Calibri"/>
        <family val="2"/>
        <scheme val="minor"/>
      </rPr>
      <t xml:space="preserve"> captured</t>
    </r>
  </si>
  <si>
    <t>Sum</t>
  </si>
  <si>
    <t>Variation ranges (%)</t>
  </si>
  <si>
    <r>
      <t>Impact of variations ($/t</t>
    </r>
    <r>
      <rPr>
        <vertAlign val="subscript"/>
        <sz val="11"/>
        <color rgb="FF006100"/>
        <rFont val="Calibri"/>
        <family val="2"/>
        <scheme val="minor"/>
      </rPr>
      <t>CO2,avoided</t>
    </r>
    <r>
      <rPr>
        <sz val="11"/>
        <color rgb="FF006100"/>
        <rFont val="Calibri"/>
        <family val="2"/>
        <scheme val="minor"/>
      </rPr>
      <t>)</t>
    </r>
  </si>
  <si>
    <t>Low</t>
  </si>
  <si>
    <t>High</t>
  </si>
  <si>
    <r>
      <t>Sensitivity analyses on cost of retrofitting CO</t>
    </r>
    <r>
      <rPr>
        <b/>
        <u/>
        <vertAlign val="subscript"/>
        <sz val="11"/>
        <color theme="1"/>
        <rFont val="Calibri"/>
        <family val="2"/>
        <scheme val="minor"/>
      </rPr>
      <t>2</t>
    </r>
    <r>
      <rPr>
        <b/>
        <u/>
        <sz val="11"/>
        <color theme="1"/>
        <rFont val="Calibri"/>
        <family val="2"/>
        <scheme val="minor"/>
      </rPr>
      <t xml:space="preserve"> capture</t>
    </r>
  </si>
  <si>
    <r>
      <t>Impact of variations (%</t>
    </r>
    <r>
      <rPr>
        <sz val="11"/>
        <color rgb="FF006100"/>
        <rFont val="Calibri"/>
        <family val="2"/>
        <scheme val="minor"/>
      </rPr>
      <t>)</t>
    </r>
  </si>
  <si>
    <r>
      <t>Cost of retrofitting CO</t>
    </r>
    <r>
      <rPr>
        <b/>
        <vertAlign val="subscript"/>
        <sz val="10"/>
        <color theme="0"/>
        <rFont val="Calibri"/>
        <family val="2"/>
        <scheme val="minor"/>
      </rPr>
      <t>2</t>
    </r>
    <r>
      <rPr>
        <b/>
        <sz val="10"/>
        <color theme="0"/>
        <rFont val="Calibri"/>
        <family val="2"/>
        <scheme val="minor"/>
      </rPr>
      <t xml:space="preserve"> capture ($/t</t>
    </r>
    <r>
      <rPr>
        <b/>
        <vertAlign val="subscript"/>
        <sz val="10"/>
        <color theme="0"/>
        <rFont val="Calibri"/>
        <family val="2"/>
        <scheme val="minor"/>
      </rPr>
      <t>CO2,avoided</t>
    </r>
    <r>
      <rPr>
        <b/>
        <sz val="10"/>
        <color theme="0"/>
        <rFont val="Calibri"/>
        <family val="2"/>
        <scheme val="minor"/>
      </rPr>
      <t>)</t>
    </r>
  </si>
  <si>
    <r>
      <t>CO</t>
    </r>
    <r>
      <rPr>
        <vertAlign val="subscript"/>
        <sz val="10"/>
        <color theme="0"/>
        <rFont val="Calibri"/>
        <family val="2"/>
        <scheme val="minor"/>
      </rPr>
      <t>2</t>
    </r>
    <r>
      <rPr>
        <sz val="10"/>
        <color theme="0"/>
        <rFont val="Calibri"/>
        <family val="2"/>
        <scheme val="minor"/>
      </rPr>
      <t xml:space="preserve"> capture and compression</t>
    </r>
  </si>
  <si>
    <t>Project valuation data</t>
  </si>
  <si>
    <t>Variation ranges to be considered for the sensitivity analyses</t>
  </si>
  <si>
    <t>Input costs for CAPEX calculations</t>
  </si>
  <si>
    <t>Evaluation of Total Capital Requirement (TCR)</t>
  </si>
  <si>
    <t>Utilities and materials cost</t>
  </si>
  <si>
    <r>
      <t>CO</t>
    </r>
    <r>
      <rPr>
        <vertAlign val="subscript"/>
        <sz val="11"/>
        <color rgb="FF006100"/>
        <rFont val="Calibri"/>
        <family val="2"/>
        <scheme val="minor"/>
      </rPr>
      <t>2</t>
    </r>
    <r>
      <rPr>
        <sz val="11"/>
        <color rgb="FF006100"/>
        <rFont val="Calibri"/>
        <family val="2"/>
        <scheme val="minor"/>
      </rPr>
      <t xml:space="preserve"> compression</t>
    </r>
  </si>
  <si>
    <r>
      <t>CO</t>
    </r>
    <r>
      <rPr>
        <b/>
        <vertAlign val="subscript"/>
        <sz val="11"/>
        <color rgb="FF006100"/>
        <rFont val="Calibri"/>
        <family val="2"/>
        <scheme val="minor"/>
      </rPr>
      <t>2</t>
    </r>
    <r>
      <rPr>
        <b/>
        <sz val="11"/>
        <color rgb="FF006100"/>
        <rFont val="Calibri"/>
        <family val="2"/>
        <scheme val="minor"/>
      </rPr>
      <t xml:space="preserve"> capture and compression</t>
    </r>
  </si>
  <si>
    <t>GJ/h</t>
  </si>
  <si>
    <t>Calcium carbonate</t>
  </si>
  <si>
    <t>t/h</t>
  </si>
  <si>
    <t>Pure MEA solvent</t>
  </si>
  <si>
    <t>kg/h</t>
  </si>
  <si>
    <t>Raw process water make-up</t>
  </si>
  <si>
    <t>MEA sludge disposal</t>
  </si>
  <si>
    <t>GJ/y</t>
  </si>
  <si>
    <t>t/y</t>
  </si>
  <si>
    <t>Molecular sieve adsorbant</t>
  </si>
  <si>
    <t>Utilities consumption and sludge disposal</t>
  </si>
  <si>
    <t>Material annual replacement</t>
  </si>
  <si>
    <t>Considering of excess power valorisation?</t>
  </si>
  <si>
    <t>MW</t>
  </si>
  <si>
    <t>MWh/y</t>
  </si>
  <si>
    <t>Amount of excess power</t>
  </si>
  <si>
    <t>Excess Electricity economic value</t>
  </si>
  <si>
    <t>Amount of excess electricity surplus</t>
  </si>
  <si>
    <t>Considered values</t>
  </si>
  <si>
    <t>Real discount rate</t>
  </si>
  <si>
    <t>Steam consumption</t>
  </si>
  <si>
    <t>CHP plant CAPEX</t>
  </si>
  <si>
    <t>Variation</t>
  </si>
  <si>
    <r>
      <t>Shared of Natural gas consumption linked to steam production for CO</t>
    </r>
    <r>
      <rPr>
        <vertAlign val="subscript"/>
        <sz val="11"/>
        <color rgb="FF006100"/>
        <rFont val="Calibri"/>
        <family val="2"/>
        <scheme val="minor"/>
      </rPr>
      <t>2</t>
    </r>
    <r>
      <rPr>
        <sz val="11"/>
        <color rgb="FF006100"/>
        <rFont val="Calibri"/>
        <family val="2"/>
        <scheme val="minor"/>
      </rPr>
      <t xml:space="preserve"> stripping</t>
    </r>
  </si>
  <si>
    <t>Minimum value</t>
  </si>
  <si>
    <t>Annualization percentage</t>
  </si>
  <si>
    <r>
      <rPr>
        <u/>
        <sz val="11"/>
        <color theme="1"/>
        <rFont val="Calibri"/>
        <family val="2"/>
        <scheme val="minor"/>
      </rPr>
      <t>NB:</t>
    </r>
    <r>
      <rPr>
        <sz val="11"/>
        <color theme="1"/>
        <rFont val="Calibri"/>
        <family val="2"/>
        <scheme val="minor"/>
      </rPr>
      <t xml:space="preserve"> Correspond to the amount effectively captured and sent for CO</t>
    </r>
    <r>
      <rPr>
        <vertAlign val="subscript"/>
        <sz val="11"/>
        <color theme="1"/>
        <rFont val="Calibri"/>
        <family val="2"/>
        <scheme val="minor"/>
      </rPr>
      <t>2</t>
    </r>
    <r>
      <rPr>
        <sz val="11"/>
        <color theme="1"/>
        <rFont val="Calibri"/>
        <family val="2"/>
        <scheme val="minor"/>
      </rPr>
      <t xml:space="preserve"> transport</t>
    </r>
  </si>
  <si>
    <t>For sensitivity analyses</t>
  </si>
  <si>
    <t>For base case</t>
  </si>
  <si>
    <r>
      <rPr>
        <u/>
        <sz val="11"/>
        <color theme="1"/>
        <rFont val="Calibri"/>
        <family val="2"/>
        <scheme val="minor"/>
      </rPr>
      <t>NB:</t>
    </r>
    <r>
      <rPr>
        <sz val="11"/>
        <color theme="1"/>
        <rFont val="Calibri"/>
        <family val="2"/>
        <scheme val="minor"/>
      </rPr>
      <t xml:space="preserve"> Assessed on an EBTIDA basis (Earnings Before Interest, Taxes, Depreciation and Amortization)</t>
    </r>
  </si>
  <si>
    <r>
      <rPr>
        <u/>
        <sz val="11"/>
        <color theme="1"/>
        <rFont val="Calibri"/>
        <family val="2"/>
        <scheme val="minor"/>
      </rPr>
      <t>NB:</t>
    </r>
    <r>
      <rPr>
        <sz val="11"/>
        <color theme="1"/>
        <rFont val="Calibri"/>
        <family val="2"/>
        <scheme val="minor"/>
      </rPr>
      <t xml:space="preserve"> If several sections (for example absorber sections) are considered. The cost of each section shall be assessed seperatly and then added together in the correct sheet.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</si>
</sst>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0.000"/>
    <numFmt numFmtId="166" formatCode="#,##0.0"/>
    <numFmt numFmtId="167" formatCode="0.0%"/>
  </numFmts>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6100"/>
      <name val="Calibri"/>
      <family val="2"/>
      <scheme val="minor"/>
    </font>
    <font>
      <sz val="11"/>
      <color rgb="FF3F3F76"/>
      <name val="Calibri"/>
      <family val="2"/>
      <scheme val="minor"/>
    </font>
    <font>
      <sz val="11"/>
      <name val="Calibri"/>
      <family val="2"/>
      <scheme val="minor"/>
    </font>
    <font>
      <vertAlign val="subscript"/>
      <sz val="11"/>
      <color rgb="FF006100"/>
      <name val="Calibri"/>
      <family val="2"/>
      <scheme val="minor"/>
    </font>
    <font>
      <b/>
      <sz val="11"/>
      <color theme="0"/>
      <name val="Calibri"/>
      <family val="2"/>
      <scheme val="minor"/>
    </font>
    <font>
      <sz val="11"/>
      <color theme="0"/>
      <name val="Calibri"/>
      <family val="2"/>
      <scheme val="minor"/>
    </font>
    <font>
      <b/>
      <sz val="11"/>
      <color rgb="FF006100"/>
      <name val="Calibri"/>
      <family val="2"/>
      <scheme val="minor"/>
    </font>
    <font>
      <b/>
      <vertAlign val="subscript"/>
      <sz val="11"/>
      <color theme="0"/>
      <name val="Calibri"/>
      <family val="2"/>
      <scheme val="minor"/>
    </font>
    <font>
      <b/>
      <u/>
      <sz val="11"/>
      <color theme="0"/>
      <name val="Calibri"/>
      <family val="2"/>
      <scheme val="minor"/>
    </font>
    <font>
      <b/>
      <u/>
      <vertAlign val="subscript"/>
      <sz val="11"/>
      <color theme="1"/>
      <name val="Calibri"/>
      <family val="2"/>
      <scheme val="minor"/>
    </font>
    <font>
      <b/>
      <sz val="11"/>
      <color rgb="FF3F3F3F"/>
      <name val="Calibri"/>
      <family val="2"/>
      <scheme val="minor"/>
    </font>
    <font>
      <vertAlign val="subscript"/>
      <sz val="11"/>
      <color theme="0"/>
      <name val="Calibri"/>
      <family val="2"/>
      <scheme val="minor"/>
    </font>
    <font>
      <sz val="11"/>
      <color theme="1"/>
      <name val="Calibri"/>
      <family val="2"/>
      <scheme val="minor"/>
    </font>
    <font>
      <sz val="10"/>
      <color rgb="FF006100"/>
      <name val="Calibri"/>
      <family val="2"/>
      <scheme val="minor"/>
    </font>
    <font>
      <sz val="10"/>
      <color theme="1"/>
      <name val="Calibri"/>
      <family val="2"/>
      <scheme val="minor"/>
    </font>
    <font>
      <b/>
      <sz val="10"/>
      <color theme="0"/>
      <name val="Calibri"/>
      <family val="2"/>
      <scheme val="minor"/>
    </font>
    <font>
      <b/>
      <vertAlign val="subscript"/>
      <sz val="10"/>
      <color theme="0"/>
      <name val="Calibri"/>
      <family val="2"/>
      <scheme val="minor"/>
    </font>
    <font>
      <sz val="10"/>
      <color theme="0"/>
      <name val="Calibri"/>
      <family val="2"/>
      <scheme val="minor"/>
    </font>
    <font>
      <vertAlign val="subscript"/>
      <sz val="10"/>
      <color theme="0"/>
      <name val="Calibri"/>
      <family val="2"/>
      <scheme val="minor"/>
    </font>
    <font>
      <b/>
      <u/>
      <sz val="12"/>
      <color theme="1"/>
      <name val="Calibri"/>
      <family val="2"/>
      <scheme val="minor"/>
    </font>
    <font>
      <b/>
      <vertAlign val="subscript"/>
      <sz val="11"/>
      <color rgb="FF006100"/>
      <name val="Calibri"/>
      <family val="2"/>
      <scheme val="minor"/>
    </font>
    <font>
      <sz val="9"/>
      <color theme="1"/>
      <name val="Arial"/>
      <family val="2"/>
    </font>
    <font>
      <u/>
      <sz val="11"/>
      <color theme="1"/>
      <name val="Calibri"/>
      <family val="2"/>
      <scheme val="minor"/>
    </font>
    <font>
      <vertAlign val="subscript"/>
      <sz val="11"/>
      <color theme="1"/>
      <name val="Calibri"/>
      <family val="2"/>
      <scheme val="minor"/>
    </font>
  </fonts>
  <fills count="6">
    <fill>
      <patternFill patternType="none"/>
    </fill>
    <fill>
      <patternFill patternType="gray125"/>
    </fill>
    <fill>
      <patternFill patternType="solid">
        <fgColor rgb="FFC6EFCE"/>
      </patternFill>
    </fill>
    <fill>
      <patternFill patternType="solid">
        <fgColor rgb="FFFFCC99"/>
      </patternFill>
    </fill>
    <fill>
      <patternFill patternType="solid">
        <fgColor rgb="FFF2F2F2"/>
      </patternFill>
    </fill>
    <fill>
      <patternFill patternType="solid">
        <fgColor theme="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bottom style="thin">
        <color rgb="FF3F3F3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7F7F7F"/>
      </right>
      <top style="medium">
        <color indexed="64"/>
      </top>
      <bottom style="thin">
        <color rgb="FF7F7F7F"/>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style="medium">
        <color indexed="64"/>
      </left>
      <right/>
      <top/>
      <bottom/>
      <diagonal/>
    </border>
    <border>
      <left/>
      <right style="medium">
        <color indexed="64"/>
      </right>
      <top/>
      <bottom/>
      <diagonal/>
    </border>
    <border>
      <left style="thin">
        <color rgb="FF7F7F7F"/>
      </left>
      <right/>
      <top style="medium">
        <color indexed="64"/>
      </top>
      <bottom style="thin">
        <color rgb="FF7F7F7F"/>
      </bottom>
      <diagonal/>
    </border>
    <border>
      <left style="thin">
        <color auto="1"/>
      </left>
      <right style="thin">
        <color rgb="FF7F7F7F"/>
      </right>
      <top style="medium">
        <color indexed="64"/>
      </top>
      <bottom style="thin">
        <color rgb="FF7F7F7F"/>
      </bottom>
      <diagonal/>
    </border>
    <border>
      <left style="thin">
        <color auto="1"/>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 fillId="2" borderId="0" applyNumberFormat="0" applyBorder="0" applyAlignment="0" applyProtection="0"/>
    <xf numFmtId="0" fontId="4" fillId="3" borderId="2" applyNumberFormat="0" applyAlignment="0" applyProtection="0"/>
    <xf numFmtId="0" fontId="8" fillId="5" borderId="0" applyNumberFormat="0" applyBorder="0" applyAlignment="0" applyProtection="0"/>
    <xf numFmtId="0" fontId="13" fillId="4" borderId="14" applyNumberFormat="0" applyAlignment="0" applyProtection="0"/>
  </cellStyleXfs>
  <cellXfs count="220">
    <xf numFmtId="0" fontId="0" fillId="0" borderId="0" xfId="0"/>
    <xf numFmtId="0" fontId="0" fillId="0" borderId="0" xfId="0" applyAlignment="1">
      <alignment horizontal="center"/>
    </xf>
    <xf numFmtId="0" fontId="2" fillId="0" borderId="0" xfId="0" applyFont="1"/>
    <xf numFmtId="0" fontId="5" fillId="0" borderId="0" xfId="0" applyFont="1" applyAlignment="1">
      <alignment horizontal="center"/>
    </xf>
    <xf numFmtId="0" fontId="3" fillId="2" borderId="0" xfId="1"/>
    <xf numFmtId="0" fontId="3" fillId="2" borderId="0" xfId="1" applyAlignment="1">
      <alignment horizontal="center"/>
    </xf>
    <xf numFmtId="0" fontId="0" fillId="0" borderId="0" xfId="0" applyBorder="1"/>
    <xf numFmtId="0" fontId="0" fillId="0" borderId="0" xfId="0" applyBorder="1" applyAlignment="1">
      <alignment vertical="center"/>
    </xf>
    <xf numFmtId="0" fontId="3" fillId="2" borderId="0" xfId="1" applyBorder="1" applyAlignment="1">
      <alignment horizontal="left" vertical="center"/>
    </xf>
    <xf numFmtId="0" fontId="3" fillId="2" borderId="0" xfId="1" applyBorder="1"/>
    <xf numFmtId="0" fontId="3" fillId="2" borderId="0" xfId="1" applyBorder="1" applyAlignment="1">
      <alignment vertical="center"/>
    </xf>
    <xf numFmtId="3" fontId="3" fillId="2" borderId="0" xfId="1" applyNumberFormat="1" applyBorder="1" applyAlignment="1">
      <alignment horizontal="center" vertical="center"/>
    </xf>
    <xf numFmtId="0" fontId="7" fillId="5" borderId="0" xfId="3" applyFont="1" applyBorder="1"/>
    <xf numFmtId="3" fontId="7" fillId="5" borderId="0" xfId="3" applyNumberFormat="1" applyFont="1" applyBorder="1" applyAlignment="1">
      <alignment horizontal="center" vertical="center"/>
    </xf>
    <xf numFmtId="3" fontId="3" fillId="2" borderId="12" xfId="1" applyNumberFormat="1" applyBorder="1" applyAlignment="1">
      <alignment horizontal="center"/>
    </xf>
    <xf numFmtId="3" fontId="7" fillId="5" borderId="13" xfId="3" applyNumberFormat="1" applyFont="1" applyBorder="1" applyAlignment="1">
      <alignment horizontal="center"/>
    </xf>
    <xf numFmtId="0" fontId="3" fillId="2" borderId="11" xfId="1" applyBorder="1"/>
    <xf numFmtId="0" fontId="3" fillId="2" borderId="12" xfId="1" applyBorder="1"/>
    <xf numFmtId="0" fontId="7" fillId="5" borderId="13" xfId="3" applyFont="1" applyBorder="1"/>
    <xf numFmtId="3" fontId="3" fillId="2" borderId="11" xfId="1" applyNumberFormat="1" applyBorder="1" applyAlignment="1">
      <alignment horizontal="center"/>
    </xf>
    <xf numFmtId="0" fontId="9" fillId="2" borderId="6" xfId="1" applyFont="1" applyBorder="1"/>
    <xf numFmtId="0" fontId="3" fillId="2" borderId="3" xfId="1" applyBorder="1"/>
    <xf numFmtId="3" fontId="3" fillId="2" borderId="8" xfId="1" applyNumberFormat="1" applyBorder="1" applyAlignment="1">
      <alignment horizontal="center" vertical="center"/>
    </xf>
    <xf numFmtId="0" fontId="7" fillId="5" borderId="9" xfId="3" applyFont="1" applyBorder="1"/>
    <xf numFmtId="3" fontId="7" fillId="5" borderId="3" xfId="3" applyNumberFormat="1" applyFont="1" applyBorder="1" applyAlignment="1">
      <alignment horizontal="center" vertical="center"/>
    </xf>
    <xf numFmtId="3" fontId="7" fillId="5" borderId="8" xfId="3" applyNumberFormat="1" applyFont="1" applyBorder="1" applyAlignment="1">
      <alignment horizontal="center" vertical="center"/>
    </xf>
    <xf numFmtId="3" fontId="3" fillId="2" borderId="3" xfId="1" applyNumberFormat="1" applyBorder="1" applyAlignment="1">
      <alignment horizontal="center" vertical="center"/>
    </xf>
    <xf numFmtId="3" fontId="7" fillId="5" borderId="12" xfId="3" applyNumberFormat="1" applyFont="1" applyBorder="1" applyAlignment="1">
      <alignment horizontal="center" vertical="center"/>
    </xf>
    <xf numFmtId="3" fontId="3" fillId="2" borderId="12" xfId="1" applyNumberFormat="1" applyBorder="1" applyAlignment="1">
      <alignment horizontal="center" vertical="center"/>
    </xf>
    <xf numFmtId="3" fontId="9" fillId="2" borderId="11" xfId="1" applyNumberFormat="1" applyFont="1" applyBorder="1" applyAlignment="1">
      <alignment horizontal="center" vertical="center"/>
    </xf>
    <xf numFmtId="0" fontId="7" fillId="5" borderId="3" xfId="3" applyFont="1" applyBorder="1"/>
    <xf numFmtId="0" fontId="3" fillId="2" borderId="3" xfId="1" applyBorder="1" applyAlignment="1">
      <alignment wrapText="1"/>
    </xf>
    <xf numFmtId="0" fontId="8" fillId="5" borderId="9" xfId="3" applyFont="1" applyBorder="1" applyAlignment="1">
      <alignment horizontal="center" vertical="center" wrapText="1"/>
    </xf>
    <xf numFmtId="0" fontId="8" fillId="5" borderId="5" xfId="3" applyFont="1" applyBorder="1" applyAlignment="1">
      <alignment horizontal="center" vertical="center" wrapText="1"/>
    </xf>
    <xf numFmtId="0" fontId="8" fillId="5" borderId="10" xfId="3" applyFont="1" applyBorder="1" applyAlignment="1">
      <alignment horizontal="center" vertical="center" wrapText="1"/>
    </xf>
    <xf numFmtId="0" fontId="3" fillId="2" borderId="6" xfId="1" applyBorder="1"/>
    <xf numFmtId="3" fontId="3" fillId="2" borderId="7" xfId="1" applyNumberFormat="1" applyBorder="1" applyAlignment="1">
      <alignment horizontal="center"/>
    </xf>
    <xf numFmtId="3" fontId="3" fillId="2" borderId="8" xfId="1" applyNumberFormat="1" applyBorder="1" applyAlignment="1">
      <alignment horizontal="center"/>
    </xf>
    <xf numFmtId="0" fontId="7" fillId="5" borderId="11" xfId="3" applyFont="1" applyBorder="1"/>
    <xf numFmtId="3" fontId="7" fillId="5" borderId="10" xfId="3" applyNumberFormat="1" applyFont="1" applyBorder="1" applyAlignment="1">
      <alignment horizontal="center"/>
    </xf>
    <xf numFmtId="164" fontId="7" fillId="5" borderId="0" xfId="3" applyNumberFormat="1" applyFont="1" applyBorder="1" applyAlignment="1">
      <alignment horizontal="center"/>
    </xf>
    <xf numFmtId="164" fontId="11" fillId="5" borderId="0" xfId="3" applyNumberFormat="1" applyFont="1" applyBorder="1" applyAlignment="1">
      <alignment horizontal="center"/>
    </xf>
    <xf numFmtId="0" fontId="3" fillId="2" borderId="4" xfId="1" applyBorder="1"/>
    <xf numFmtId="164" fontId="3" fillId="2" borderId="0" xfId="1" applyNumberFormat="1" applyBorder="1" applyAlignment="1">
      <alignment horizontal="center"/>
    </xf>
    <xf numFmtId="0" fontId="3" fillId="2" borderId="0" xfId="1" applyFont="1" applyBorder="1" applyAlignment="1">
      <alignment vertical="center"/>
    </xf>
    <xf numFmtId="0" fontId="3" fillId="2" borderId="5" xfId="1" applyBorder="1"/>
    <xf numFmtId="0" fontId="0" fillId="0" borderId="0" xfId="0" applyAlignment="1"/>
    <xf numFmtId="0" fontId="7" fillId="5" borderId="1" xfId="3" applyFont="1" applyBorder="1"/>
    <xf numFmtId="3" fontId="7" fillId="5" borderId="1" xfId="3" applyNumberFormat="1" applyFont="1" applyBorder="1" applyAlignment="1">
      <alignment horizontal="center"/>
    </xf>
    <xf numFmtId="0" fontId="3" fillId="2" borderId="0" xfId="1"/>
    <xf numFmtId="166" fontId="0" fillId="0" borderId="0" xfId="0" applyNumberFormat="1"/>
    <xf numFmtId="164" fontId="0" fillId="0" borderId="0" xfId="0" applyNumberFormat="1"/>
    <xf numFmtId="0" fontId="3" fillId="2" borderId="0" xfId="1" applyBorder="1" applyAlignment="1">
      <alignment horizontal="center"/>
    </xf>
    <xf numFmtId="9" fontId="3" fillId="2" borderId="4" xfId="1" applyNumberFormat="1" applyBorder="1" applyAlignment="1">
      <alignment horizontal="center"/>
    </xf>
    <xf numFmtId="1" fontId="3" fillId="2" borderId="4" xfId="1" applyNumberFormat="1" applyBorder="1" applyAlignment="1">
      <alignment horizontal="center"/>
    </xf>
    <xf numFmtId="9" fontId="3" fillId="2" borderId="0" xfId="1" applyNumberFormat="1" applyBorder="1" applyAlignment="1">
      <alignment horizontal="center"/>
    </xf>
    <xf numFmtId="1" fontId="3" fillId="2" borderId="0" xfId="1" applyNumberFormat="1" applyBorder="1" applyAlignment="1">
      <alignment horizontal="center"/>
    </xf>
    <xf numFmtId="9" fontId="3" fillId="2" borderId="5" xfId="1" applyNumberFormat="1" applyBorder="1" applyAlignment="1">
      <alignment horizontal="center"/>
    </xf>
    <xf numFmtId="1" fontId="3" fillId="2" borderId="5" xfId="1" applyNumberFormat="1" applyBorder="1" applyAlignment="1">
      <alignment horizontal="center"/>
    </xf>
    <xf numFmtId="1" fontId="3" fillId="2" borderId="0" xfId="1" applyNumberFormat="1" applyAlignment="1">
      <alignment horizontal="center"/>
    </xf>
    <xf numFmtId="0" fontId="0" fillId="0" borderId="0" xfId="0" applyAlignment="1">
      <alignment horizontal="center"/>
    </xf>
    <xf numFmtId="3" fontId="3" fillId="2" borderId="0" xfId="1" applyNumberFormat="1" applyBorder="1" applyAlignment="1">
      <alignment horizontal="center"/>
    </xf>
    <xf numFmtId="0" fontId="13" fillId="4" borderId="15" xfId="4" applyBorder="1" applyAlignment="1">
      <alignment horizontal="center"/>
    </xf>
    <xf numFmtId="2" fontId="13" fillId="4" borderId="15" xfId="4" applyNumberFormat="1" applyBorder="1" applyAlignment="1">
      <alignment horizontal="center"/>
    </xf>
    <xf numFmtId="0" fontId="8" fillId="5" borderId="25" xfId="3" applyBorder="1" applyAlignment="1">
      <alignment horizontal="center"/>
    </xf>
    <xf numFmtId="0" fontId="8" fillId="5" borderId="26" xfId="3" applyBorder="1" applyAlignment="1">
      <alignment horizontal="center"/>
    </xf>
    <xf numFmtId="0" fontId="8" fillId="5" borderId="27" xfId="3" applyBorder="1" applyAlignment="1">
      <alignment horizontal="center"/>
    </xf>
    <xf numFmtId="0" fontId="3" fillId="2" borderId="28" xfId="1" applyBorder="1" applyAlignment="1">
      <alignment horizontal="center"/>
    </xf>
    <xf numFmtId="2" fontId="3" fillId="2" borderId="29" xfId="1" applyNumberFormat="1" applyBorder="1" applyAlignment="1">
      <alignment horizontal="center"/>
    </xf>
    <xf numFmtId="0" fontId="3" fillId="2" borderId="19" xfId="1" applyBorder="1" applyAlignment="1">
      <alignment horizontal="center"/>
    </xf>
    <xf numFmtId="0" fontId="3" fillId="2" borderId="20" xfId="1" applyBorder="1" applyAlignment="1">
      <alignment horizontal="center"/>
    </xf>
    <xf numFmtId="2" fontId="3" fillId="2" borderId="21" xfId="1" applyNumberFormat="1" applyBorder="1" applyAlignment="1">
      <alignment horizontal="center"/>
    </xf>
    <xf numFmtId="2" fontId="3" fillId="2" borderId="0" xfId="1" applyNumberFormat="1" applyBorder="1" applyAlignment="1">
      <alignment horizontal="center"/>
    </xf>
    <xf numFmtId="2" fontId="3" fillId="2" borderId="20" xfId="1" applyNumberFormat="1" applyBorder="1" applyAlignment="1">
      <alignment horizontal="center"/>
    </xf>
    <xf numFmtId="165" fontId="3" fillId="2" borderId="0" xfId="1" applyNumberFormat="1" applyBorder="1" applyAlignment="1">
      <alignment horizontal="center"/>
    </xf>
    <xf numFmtId="165" fontId="3" fillId="2" borderId="20" xfId="1" applyNumberFormat="1" applyBorder="1" applyAlignment="1">
      <alignment horizontal="center"/>
    </xf>
    <xf numFmtId="0" fontId="8" fillId="5" borderId="30" xfId="3" applyBorder="1" applyAlignment="1">
      <alignment horizontal="center"/>
    </xf>
    <xf numFmtId="0" fontId="8" fillId="5" borderId="31" xfId="3" applyBorder="1" applyAlignment="1">
      <alignment horizontal="center"/>
    </xf>
    <xf numFmtId="0" fontId="3" fillId="2" borderId="3" xfId="1" applyBorder="1" applyAlignment="1">
      <alignment horizontal="center"/>
    </xf>
    <xf numFmtId="0" fontId="3" fillId="2" borderId="32" xfId="1" applyBorder="1" applyAlignment="1">
      <alignment horizontal="center"/>
    </xf>
    <xf numFmtId="0" fontId="3" fillId="2" borderId="0" xfId="1"/>
    <xf numFmtId="0" fontId="3" fillId="2" borderId="0" xfId="1" applyBorder="1" applyAlignment="1">
      <alignment horizontal="center"/>
    </xf>
    <xf numFmtId="0" fontId="0" fillId="0" borderId="0" xfId="0" applyAlignment="1">
      <alignment horizontal="center"/>
    </xf>
    <xf numFmtId="3" fontId="3" fillId="2" borderId="3" xfId="1" applyNumberFormat="1" applyBorder="1" applyAlignment="1">
      <alignment horizontal="center" vertical="center"/>
    </xf>
    <xf numFmtId="0" fontId="3" fillId="2" borderId="0" xfId="1" applyBorder="1" applyAlignment="1">
      <alignment horizontal="center" vertical="center"/>
    </xf>
    <xf numFmtId="167" fontId="3" fillId="2" borderId="0" xfId="1" applyNumberFormat="1" applyAlignment="1">
      <alignment horizontal="center"/>
    </xf>
    <xf numFmtId="167" fontId="3" fillId="2" borderId="4" xfId="1" applyNumberFormat="1" applyBorder="1" applyAlignment="1">
      <alignment horizontal="center"/>
    </xf>
    <xf numFmtId="167" fontId="3" fillId="2" borderId="0" xfId="1" applyNumberFormat="1" applyBorder="1" applyAlignment="1">
      <alignment horizontal="center"/>
    </xf>
    <xf numFmtId="167" fontId="3" fillId="2" borderId="5" xfId="1" applyNumberFormat="1" applyBorder="1" applyAlignment="1">
      <alignment horizontal="center"/>
    </xf>
    <xf numFmtId="0" fontId="16" fillId="2" borderId="0" xfId="1" applyFont="1" applyBorder="1"/>
    <xf numFmtId="0" fontId="16" fillId="2" borderId="0" xfId="1" applyFont="1" applyBorder="1" applyAlignment="1">
      <alignment vertical="center"/>
    </xf>
    <xf numFmtId="166" fontId="16" fillId="2" borderId="0" xfId="1" applyNumberFormat="1" applyFont="1" applyBorder="1" applyAlignment="1">
      <alignment horizontal="center"/>
    </xf>
    <xf numFmtId="0" fontId="16" fillId="2" borderId="0" xfId="1" applyNumberFormat="1" applyFont="1" applyBorder="1" applyAlignment="1">
      <alignment vertical="center" wrapText="1"/>
    </xf>
    <xf numFmtId="166" fontId="16" fillId="2" borderId="0" xfId="1" applyNumberFormat="1" applyFont="1" applyBorder="1" applyAlignment="1">
      <alignment horizontal="center" vertical="center"/>
    </xf>
    <xf numFmtId="0" fontId="16" fillId="2" borderId="0" xfId="1" applyFont="1" applyBorder="1" applyAlignment="1">
      <alignment vertical="center" wrapText="1"/>
    </xf>
    <xf numFmtId="166" fontId="16" fillId="2" borderId="0" xfId="1" applyNumberFormat="1" applyFont="1" applyBorder="1" applyAlignment="1">
      <alignment horizontal="center" wrapText="1"/>
    </xf>
    <xf numFmtId="0" fontId="17" fillId="0" borderId="0" xfId="0" applyFont="1" applyBorder="1" applyAlignment="1">
      <alignment vertical="center"/>
    </xf>
    <xf numFmtId="0" fontId="18" fillId="5" borderId="4" xfId="3" applyFont="1" applyBorder="1" applyAlignment="1">
      <alignment horizontal="center" wrapText="1"/>
    </xf>
    <xf numFmtId="164" fontId="20" fillId="5" borderId="0" xfId="3" applyNumberFormat="1" applyFont="1" applyBorder="1" applyAlignment="1">
      <alignment horizontal="center"/>
    </xf>
    <xf numFmtId="164" fontId="20" fillId="5" borderId="0" xfId="3" applyNumberFormat="1" applyFont="1" applyBorder="1" applyAlignment="1">
      <alignment horizontal="center" wrapText="1"/>
    </xf>
    <xf numFmtId="166" fontId="18" fillId="5" borderId="0" xfId="3" applyNumberFormat="1" applyFont="1" applyBorder="1" applyAlignment="1">
      <alignment horizontal="center"/>
    </xf>
    <xf numFmtId="0" fontId="22" fillId="0" borderId="0" xfId="0" applyFont="1"/>
    <xf numFmtId="0" fontId="3" fillId="2" borderId="0" xfId="1" applyFont="1" applyBorder="1" applyAlignment="1">
      <alignment horizontal="center"/>
    </xf>
    <xf numFmtId="0" fontId="15" fillId="0" borderId="0" xfId="0" applyFont="1" applyBorder="1"/>
    <xf numFmtId="0" fontId="15" fillId="0" borderId="0" xfId="0" applyFont="1" applyBorder="1" applyAlignment="1">
      <alignment horizontal="center"/>
    </xf>
    <xf numFmtId="0" fontId="3" fillId="2" borderId="0" xfId="1" applyFont="1" applyBorder="1"/>
    <xf numFmtId="0" fontId="3" fillId="2" borderId="3" xfId="1" applyBorder="1" applyAlignment="1">
      <alignment horizontal="center" vertical="center" wrapText="1"/>
    </xf>
    <xf numFmtId="0" fontId="3" fillId="2" borderId="0" xfId="1" applyBorder="1" applyAlignment="1">
      <alignment horizontal="center" vertical="center" wrapText="1"/>
    </xf>
    <xf numFmtId="0" fontId="3" fillId="2" borderId="8" xfId="1" applyBorder="1" applyAlignment="1">
      <alignment horizontal="center" vertical="center" wrapText="1"/>
    </xf>
    <xf numFmtId="10" fontId="3" fillId="2" borderId="0" xfId="1" applyNumberFormat="1" applyBorder="1" applyAlignment="1">
      <alignment horizontal="center"/>
    </xf>
    <xf numFmtId="3" fontId="9" fillId="2" borderId="6" xfId="1" applyNumberFormat="1" applyFont="1" applyBorder="1" applyAlignment="1">
      <alignment horizontal="center" vertical="center"/>
    </xf>
    <xf numFmtId="3" fontId="9" fillId="2" borderId="4" xfId="1" applyNumberFormat="1" applyFont="1" applyBorder="1" applyAlignment="1">
      <alignment horizontal="center" vertical="center"/>
    </xf>
    <xf numFmtId="3" fontId="9" fillId="2" borderId="7" xfId="1" applyNumberFormat="1" applyFont="1" applyBorder="1" applyAlignment="1">
      <alignment horizontal="center" vertical="center"/>
    </xf>
    <xf numFmtId="0" fontId="24" fillId="0" borderId="0" xfId="0" applyFont="1"/>
    <xf numFmtId="0" fontId="3" fillId="2" borderId="0" xfId="1" applyAlignment="1"/>
    <xf numFmtId="0" fontId="0" fillId="0" borderId="0" xfId="0" applyAlignment="1">
      <alignment horizontal="center"/>
    </xf>
    <xf numFmtId="0" fontId="3" fillId="2" borderId="0" xfId="1"/>
    <xf numFmtId="0" fontId="3" fillId="2" borderId="0" xfId="1" applyAlignment="1"/>
    <xf numFmtId="0" fontId="3" fillId="2" borderId="0" xfId="1" applyAlignment="1"/>
    <xf numFmtId="1" fontId="0" fillId="0" borderId="0" xfId="0" applyNumberFormat="1"/>
    <xf numFmtId="0" fontId="3" fillId="2" borderId="0" xfId="1"/>
    <xf numFmtId="164" fontId="3" fillId="2" borderId="4" xfId="1" applyNumberFormat="1" applyBorder="1" applyAlignment="1">
      <alignment horizontal="center"/>
    </xf>
    <xf numFmtId="164" fontId="3" fillId="2" borderId="5" xfId="1" applyNumberFormat="1" applyBorder="1" applyAlignment="1">
      <alignment horizontal="center"/>
    </xf>
    <xf numFmtId="0" fontId="4" fillId="3" borderId="0" xfId="2" applyFont="1" applyBorder="1" applyAlignment="1" applyProtection="1">
      <alignment horizontal="center"/>
      <protection locked="0"/>
    </xf>
    <xf numFmtId="164" fontId="4" fillId="3" borderId="0" xfId="2" applyNumberFormat="1" applyFont="1" applyBorder="1" applyAlignment="1" applyProtection="1">
      <alignment horizontal="center"/>
      <protection locked="0"/>
    </xf>
    <xf numFmtId="164" fontId="5" fillId="3" borderId="0" xfId="2" applyNumberFormat="1" applyFont="1" applyBorder="1" applyAlignment="1" applyProtection="1">
      <alignment horizontal="center"/>
      <protection locked="0"/>
    </xf>
    <xf numFmtId="3" fontId="5" fillId="3" borderId="0" xfId="2" applyNumberFormat="1" applyFont="1" applyBorder="1" applyAlignment="1" applyProtection="1">
      <alignment horizontal="center" vertical="center"/>
      <protection locked="0"/>
    </xf>
    <xf numFmtId="3" fontId="5" fillId="3" borderId="8" xfId="2" applyNumberFormat="1" applyFont="1" applyBorder="1" applyAlignment="1" applyProtection="1">
      <alignment horizontal="center" vertical="center"/>
      <protection locked="0"/>
    </xf>
    <xf numFmtId="3" fontId="5" fillId="3" borderId="5" xfId="2" applyNumberFormat="1" applyFont="1" applyBorder="1" applyAlignment="1" applyProtection="1">
      <alignment horizontal="center" vertical="center"/>
      <protection locked="0"/>
    </xf>
    <xf numFmtId="3" fontId="5" fillId="3" borderId="10"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4" fillId="3" borderId="0" xfId="2" applyNumberFormat="1" applyBorder="1" applyAlignment="1" applyProtection="1">
      <alignment horizontal="center"/>
      <protection locked="0"/>
    </xf>
    <xf numFmtId="0" fontId="4" fillId="3" borderId="0" xfId="2" applyBorder="1" applyAlignment="1" applyProtection="1">
      <alignment horizontal="center" vertical="center"/>
      <protection locked="0"/>
    </xf>
    <xf numFmtId="9" fontId="4" fillId="3" borderId="0" xfId="2" applyNumberFormat="1" applyBorder="1" applyAlignment="1" applyProtection="1">
      <alignment horizontal="center"/>
      <protection locked="0"/>
    </xf>
    <xf numFmtId="164" fontId="4" fillId="3" borderId="0" xfId="2" applyNumberFormat="1" applyBorder="1" applyAlignment="1" applyProtection="1">
      <alignment horizontal="center"/>
      <protection locked="0"/>
    </xf>
    <xf numFmtId="3" fontId="3" fillId="2" borderId="0" xfId="1" applyNumberFormat="1" applyBorder="1" applyAlignment="1" applyProtection="1">
      <alignment horizontal="center"/>
      <protection locked="0"/>
    </xf>
    <xf numFmtId="2" fontId="4" fillId="3" borderId="0" xfId="2" applyNumberFormat="1" applyBorder="1" applyAlignment="1" applyProtection="1">
      <alignment horizontal="center"/>
      <protection locked="0"/>
    </xf>
    <xf numFmtId="3" fontId="5" fillId="3" borderId="3" xfId="2" applyNumberFormat="1" applyFont="1" applyBorder="1" applyAlignment="1" applyProtection="1">
      <alignment horizontal="center" vertical="center"/>
      <protection locked="0"/>
    </xf>
    <xf numFmtId="3" fontId="5" fillId="3" borderId="9" xfId="2" applyNumberFormat="1" applyFont="1" applyBorder="1" applyAlignment="1" applyProtection="1">
      <alignment horizontal="center" vertical="center"/>
      <protection locked="0"/>
    </xf>
    <xf numFmtId="0" fontId="4" fillId="3" borderId="0" xfId="2" applyBorder="1" applyAlignment="1" applyProtection="1">
      <alignment horizontal="center"/>
      <protection locked="0"/>
    </xf>
    <xf numFmtId="3" fontId="3" fillId="2" borderId="0" xfId="1" applyNumberFormat="1" applyBorder="1" applyAlignment="1">
      <alignment horizontal="center"/>
    </xf>
    <xf numFmtId="0" fontId="3" fillId="2" borderId="0" xfId="1" applyAlignment="1"/>
    <xf numFmtId="0" fontId="3" fillId="2" borderId="0" xfId="1" applyBorder="1" applyAlignment="1">
      <alignment horizontal="center" vertical="center" wrapText="1"/>
    </xf>
    <xf numFmtId="0" fontId="0" fillId="0" borderId="0" xfId="0" applyAlignment="1">
      <alignment horizontal="center" vertical="center" wrapText="1"/>
    </xf>
    <xf numFmtId="0" fontId="3" fillId="2" borderId="0" xfId="1" applyBorder="1" applyAlignment="1">
      <alignment horizontal="center" vertical="center"/>
    </xf>
    <xf numFmtId="0" fontId="0" fillId="0" borderId="0" xfId="0" applyAlignment="1">
      <alignment horizontal="center" vertical="center"/>
    </xf>
    <xf numFmtId="4" fontId="4" fillId="3" borderId="0" xfId="2" applyNumberFormat="1" applyBorder="1" applyAlignment="1" applyProtection="1">
      <alignment horizontal="center"/>
      <protection locked="0"/>
    </xf>
    <xf numFmtId="0" fontId="0" fillId="0" borderId="0" xfId="0" applyAlignment="1"/>
    <xf numFmtId="3" fontId="5" fillId="3" borderId="3" xfId="2" applyNumberFormat="1" applyFont="1" applyBorder="1" applyAlignment="1" applyProtection="1">
      <alignment horizontal="center" vertical="center"/>
      <protection locked="0"/>
    </xf>
    <xf numFmtId="0" fontId="0" fillId="0" borderId="8" xfId="0" applyFont="1" applyBorder="1" applyAlignment="1" applyProtection="1">
      <protection locked="0"/>
    </xf>
    <xf numFmtId="3" fontId="5" fillId="3" borderId="9" xfId="2" applyNumberFormat="1" applyFont="1" applyBorder="1" applyAlignment="1" applyProtection="1">
      <alignment horizontal="center" vertical="center"/>
      <protection locked="0"/>
    </xf>
    <xf numFmtId="0" fontId="0" fillId="0" borderId="10" xfId="0" applyFont="1" applyBorder="1" applyAlignment="1" applyProtection="1">
      <protection locked="0"/>
    </xf>
    <xf numFmtId="0" fontId="4" fillId="3" borderId="0" xfId="2" applyBorder="1" applyAlignment="1" applyProtection="1">
      <alignment horizontal="center"/>
      <protection locked="0"/>
    </xf>
    <xf numFmtId="0" fontId="0" fillId="0" borderId="0" xfId="0" applyAlignment="1" applyProtection="1">
      <protection locked="0"/>
    </xf>
    <xf numFmtId="0" fontId="9" fillId="2" borderId="6" xfId="1" applyFont="1" applyBorder="1" applyAlignment="1">
      <alignment horizontal="center"/>
    </xf>
    <xf numFmtId="0" fontId="9" fillId="2" borderId="4" xfId="1" applyFont="1" applyBorder="1" applyAlignment="1">
      <alignment horizontal="center"/>
    </xf>
    <xf numFmtId="0" fontId="9" fillId="2" borderId="7" xfId="1" applyFont="1" applyBorder="1" applyAlignment="1">
      <alignment horizontal="center"/>
    </xf>
    <xf numFmtId="0" fontId="9" fillId="2" borderId="6" xfId="1" applyFont="1" applyBorder="1" applyAlignment="1">
      <alignment horizontal="center" vertical="center" wrapText="1"/>
    </xf>
    <xf numFmtId="0" fontId="9" fillId="2" borderId="7" xfId="1" applyFont="1" applyBorder="1" applyAlignment="1"/>
    <xf numFmtId="0" fontId="9" fillId="2" borderId="3" xfId="1" applyFont="1" applyBorder="1" applyAlignment="1"/>
    <xf numFmtId="0" fontId="9" fillId="2" borderId="8" xfId="1" applyFont="1" applyBorder="1" applyAlignment="1"/>
    <xf numFmtId="0" fontId="3" fillId="2" borderId="0" xfId="1" applyBorder="1" applyAlignment="1">
      <alignment horizontal="center"/>
    </xf>
    <xf numFmtId="0" fontId="0" fillId="0" borderId="0" xfId="0" applyAlignment="1">
      <alignment horizontal="center"/>
    </xf>
    <xf numFmtId="0" fontId="3" fillId="2" borderId="0" xfId="1" applyBorder="1" applyAlignment="1"/>
    <xf numFmtId="2" fontId="4" fillId="3" borderId="0" xfId="2" applyNumberFormat="1" applyBorder="1" applyAlignment="1" applyProtection="1">
      <alignment horizontal="center"/>
      <protection locked="0"/>
    </xf>
    <xf numFmtId="0" fontId="3" fillId="2" borderId="0" xfId="1" applyFont="1" applyBorder="1" applyAlignment="1"/>
    <xf numFmtId="0" fontId="0" fillId="0" borderId="0" xfId="0" applyBorder="1" applyAlignment="1"/>
    <xf numFmtId="0" fontId="3" fillId="2" borderId="0" xfId="1" applyBorder="1" applyAlignment="1">
      <alignment wrapText="1"/>
    </xf>
    <xf numFmtId="0" fontId="3" fillId="2" borderId="0" xfId="1"/>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16" xfId="0"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0" fillId="0" borderId="0" xfId="0" applyBorder="1" applyAlignment="1">
      <alignment vertical="center"/>
    </xf>
    <xf numFmtId="0" fontId="0" fillId="0" borderId="29"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7" fillId="5" borderId="11" xfId="3" applyFont="1" applyBorder="1" applyAlignment="1">
      <alignment horizontal="center" vertical="center" wrapText="1"/>
    </xf>
    <xf numFmtId="0" fontId="0" fillId="0" borderId="13" xfId="0" applyBorder="1" applyAlignment="1"/>
    <xf numFmtId="0" fontId="7" fillId="5" borderId="6" xfId="3" applyFont="1" applyBorder="1" applyAlignment="1">
      <alignment horizontal="center"/>
    </xf>
    <xf numFmtId="0" fontId="7" fillId="5" borderId="4" xfId="3" applyFont="1" applyBorder="1" applyAlignment="1">
      <alignment horizontal="center"/>
    </xf>
    <xf numFmtId="0" fontId="7" fillId="5" borderId="7" xfId="3" applyFont="1" applyBorder="1" applyAlignment="1">
      <alignment horizontal="center"/>
    </xf>
    <xf numFmtId="0" fontId="1" fillId="0" borderId="13" xfId="0" applyFont="1" applyBorder="1" applyAlignment="1"/>
    <xf numFmtId="3" fontId="7" fillId="5" borderId="3" xfId="3" applyNumberFormat="1" applyFont="1" applyBorder="1" applyAlignment="1">
      <alignment horizontal="center" vertical="center"/>
    </xf>
    <xf numFmtId="0" fontId="7" fillId="5" borderId="0" xfId="3" applyFont="1" applyBorder="1" applyAlignment="1">
      <alignment horizontal="center" vertical="center"/>
    </xf>
    <xf numFmtId="0" fontId="7" fillId="5" borderId="8" xfId="3" applyFont="1" applyBorder="1" applyAlignment="1">
      <alignment horizontal="center" vertical="center"/>
    </xf>
    <xf numFmtId="3" fontId="3" fillId="2" borderId="3" xfId="1" applyNumberFormat="1" applyBorder="1" applyAlignment="1">
      <alignment horizontal="center" vertical="center"/>
    </xf>
    <xf numFmtId="0" fontId="3" fillId="2" borderId="8" xfId="1" applyBorder="1" applyAlignment="1">
      <alignment horizontal="center" vertical="center"/>
    </xf>
    <xf numFmtId="3" fontId="7" fillId="5" borderId="9" xfId="3" applyNumberFormat="1" applyFont="1" applyBorder="1" applyAlignment="1">
      <alignment horizontal="center"/>
    </xf>
    <xf numFmtId="0" fontId="7" fillId="5" borderId="5" xfId="3" applyFont="1" applyBorder="1" applyAlignment="1">
      <alignment horizontal="center"/>
    </xf>
    <xf numFmtId="0" fontId="7" fillId="5" borderId="10" xfId="3" applyFont="1" applyBorder="1" applyAlignment="1">
      <alignment horizontal="center"/>
    </xf>
    <xf numFmtId="3" fontId="7" fillId="5" borderId="5" xfId="3" applyNumberFormat="1" applyFont="1" applyBorder="1" applyAlignment="1">
      <alignment horizontal="center"/>
    </xf>
    <xf numFmtId="3" fontId="7" fillId="5" borderId="10" xfId="3" applyNumberFormat="1" applyFont="1" applyBorder="1" applyAlignment="1">
      <alignment horizontal="center"/>
    </xf>
    <xf numFmtId="3" fontId="3" fillId="2" borderId="3" xfId="1" applyNumberFormat="1" applyBorder="1" applyAlignment="1">
      <alignment horizontal="center"/>
    </xf>
    <xf numFmtId="0" fontId="3" fillId="2" borderId="8" xfId="1" applyBorder="1" applyAlignment="1">
      <alignment horizontal="center"/>
    </xf>
    <xf numFmtId="3" fontId="3" fillId="2" borderId="6" xfId="1" applyNumberFormat="1" applyBorder="1" applyAlignment="1">
      <alignment horizontal="center"/>
    </xf>
    <xf numFmtId="0" fontId="3" fillId="2" borderId="4" xfId="1" applyBorder="1" applyAlignment="1">
      <alignment horizontal="center"/>
    </xf>
    <xf numFmtId="0" fontId="3" fillId="2" borderId="7" xfId="1" applyBorder="1" applyAlignment="1">
      <alignment horizontal="center"/>
    </xf>
    <xf numFmtId="3" fontId="7" fillId="5" borderId="1" xfId="3" applyNumberFormat="1" applyFont="1" applyBorder="1" applyAlignment="1">
      <alignment horizontal="center"/>
    </xf>
    <xf numFmtId="0" fontId="7" fillId="5" borderId="1" xfId="3" applyFont="1" applyBorder="1" applyAlignment="1">
      <alignment horizontal="center"/>
    </xf>
    <xf numFmtId="0" fontId="20" fillId="5" borderId="0" xfId="3" applyNumberFormat="1" applyFont="1" applyBorder="1" applyAlignment="1">
      <alignment vertical="center" wrapText="1"/>
    </xf>
    <xf numFmtId="0" fontId="20" fillId="5" borderId="0" xfId="3" applyFont="1" applyBorder="1" applyAlignment="1">
      <alignment vertical="center"/>
    </xf>
    <xf numFmtId="0" fontId="18" fillId="5" borderId="0" xfId="3" applyFont="1" applyBorder="1" applyAlignment="1"/>
    <xf numFmtId="0" fontId="20" fillId="5" borderId="0" xfId="3" applyFont="1" applyBorder="1" applyAlignment="1">
      <alignment vertical="center" wrapText="1"/>
    </xf>
    <xf numFmtId="0" fontId="0" fillId="0" borderId="4" xfId="0" applyBorder="1" applyAlignment="1">
      <alignment horizontal="center"/>
    </xf>
    <xf numFmtId="0" fontId="3" fillId="2" borderId="4" xfId="1" applyBorder="1" applyAlignment="1">
      <alignment horizontal="center" vertical="center"/>
    </xf>
    <xf numFmtId="0" fontId="0" fillId="0" borderId="4" xfId="0" applyBorder="1" applyAlignment="1">
      <alignment horizontal="center" vertical="center"/>
    </xf>
    <xf numFmtId="0" fontId="3" fillId="2" borderId="4" xfId="1"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vertical="center"/>
    </xf>
  </cellXfs>
  <cellStyles count="5">
    <cellStyle name="Accent1" xfId="3" builtinId="29"/>
    <cellStyle name="Good" xfId="1" builtinId="26"/>
    <cellStyle name="Input" xfId="2" builtinId="20"/>
    <cellStyle name="Normal" xfId="0" builtinId="0"/>
    <cellStyle name="Output" xfId="4" builtinId="2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15350026795263"/>
          <c:y val="5.0925925925925923E-2"/>
          <c:w val="0.33636757007387724"/>
          <c:h val="0.8416746864975212"/>
        </c:manualLayout>
      </c:layout>
      <c:barChart>
        <c:barDir val="col"/>
        <c:grouping val="stacked"/>
        <c:varyColors val="0"/>
        <c:ser>
          <c:idx val="6"/>
          <c:order val="0"/>
          <c:tx>
            <c:strRef>
              <c:f>'Summarised cost results'!$B$14:$C$14</c:f>
              <c:strCache>
                <c:ptCount val="2"/>
                <c:pt idx="0">
                  <c:v>Interconnecting</c:v>
                </c:pt>
                <c:pt idx="1">
                  <c:v>CAPEX</c:v>
                </c:pt>
              </c:strCache>
            </c:strRef>
          </c:tx>
          <c:spPr>
            <a:solidFill>
              <a:schemeClr val="accent1">
                <a:lumMod val="60000"/>
              </a:schemeClr>
            </a:solidFill>
            <a:ln>
              <a:noFill/>
            </a:ln>
            <a:effectLst/>
          </c:spPr>
          <c:invertIfNegative val="0"/>
          <c:cat>
            <c:strLit>
              <c:ptCount val="1"/>
              <c:pt idx="0">
                <c:v>Detailed breakdown</c:v>
              </c:pt>
            </c:strLit>
          </c:cat>
          <c:val>
            <c:numRef>
              <c:f>'Summarised cost results'!$D$14</c:f>
              <c:numCache>
                <c:formatCode>#,##0.0</c:formatCode>
                <c:ptCount val="1"/>
                <c:pt idx="0">
                  <c:v>25.772397459001823</c:v>
                </c:pt>
              </c:numCache>
            </c:numRef>
          </c:val>
        </c:ser>
        <c:ser>
          <c:idx val="7"/>
          <c:order val="1"/>
          <c:tx>
            <c:strRef>
              <c:f>'Summarised cost results'!$B$15:$C$15</c:f>
              <c:strCache>
                <c:ptCount val="2"/>
                <c:pt idx="0">
                  <c:v>Interconnecting</c:v>
                </c:pt>
                <c:pt idx="1">
                  <c:v>Fixed OPEX</c:v>
                </c:pt>
              </c:strCache>
            </c:strRef>
          </c:tx>
          <c:spPr>
            <a:solidFill>
              <a:schemeClr val="accent2">
                <a:lumMod val="60000"/>
              </a:schemeClr>
            </a:solidFill>
            <a:ln>
              <a:noFill/>
            </a:ln>
            <a:effectLst/>
          </c:spPr>
          <c:invertIfNegative val="0"/>
          <c:cat>
            <c:strLit>
              <c:ptCount val="1"/>
              <c:pt idx="0">
                <c:v>Detailed breakdown</c:v>
              </c:pt>
            </c:strLit>
          </c:cat>
          <c:val>
            <c:numRef>
              <c:f>'Summarised cost results'!$D$15</c:f>
              <c:numCache>
                <c:formatCode>#,##0.0</c:formatCode>
                <c:ptCount val="1"/>
                <c:pt idx="0">
                  <c:v>5.1331340431562822</c:v>
                </c:pt>
              </c:numCache>
            </c:numRef>
          </c:val>
        </c:ser>
        <c:ser>
          <c:idx val="8"/>
          <c:order val="2"/>
          <c:tx>
            <c:strRef>
              <c:f>'Summarised cost results'!$B$16:$C$16</c:f>
              <c:strCache>
                <c:ptCount val="2"/>
                <c:pt idx="0">
                  <c:v>Interconnecting</c:v>
                </c:pt>
                <c:pt idx="1">
                  <c:v>Variable OPEX</c:v>
                </c:pt>
              </c:strCache>
            </c:strRef>
          </c:tx>
          <c:spPr>
            <a:solidFill>
              <a:schemeClr val="accent3">
                <a:lumMod val="60000"/>
              </a:schemeClr>
            </a:solidFill>
            <a:ln>
              <a:noFill/>
            </a:ln>
            <a:effectLst/>
          </c:spPr>
          <c:invertIfNegative val="0"/>
          <c:cat>
            <c:strLit>
              <c:ptCount val="1"/>
              <c:pt idx="0">
                <c:v>Detailed breakdown</c:v>
              </c:pt>
            </c:strLit>
          </c:cat>
          <c:val>
            <c:numRef>
              <c:f>'Summarised cost results'!$D$16</c:f>
              <c:numCache>
                <c:formatCode>#,##0.0</c:formatCode>
                <c:ptCount val="1"/>
                <c:pt idx="0">
                  <c:v>0</c:v>
                </c:pt>
              </c:numCache>
            </c:numRef>
          </c:val>
        </c:ser>
        <c:ser>
          <c:idx val="3"/>
          <c:order val="3"/>
          <c:tx>
            <c:strRef>
              <c:f>'Summarised cost results'!$B$8:$C$8</c:f>
              <c:strCache>
                <c:ptCount val="2"/>
                <c:pt idx="0">
                  <c:v>Utilities</c:v>
                </c:pt>
                <c:pt idx="1">
                  <c:v>CAPEX</c:v>
                </c:pt>
              </c:strCache>
            </c:strRef>
          </c:tx>
          <c:spPr>
            <a:solidFill>
              <a:schemeClr val="accent4"/>
            </a:solidFill>
            <a:ln>
              <a:noFill/>
            </a:ln>
            <a:effectLst/>
          </c:spPr>
          <c:invertIfNegative val="0"/>
          <c:cat>
            <c:strLit>
              <c:ptCount val="1"/>
              <c:pt idx="0">
                <c:v>Detailed breakdown</c:v>
              </c:pt>
            </c:strLit>
          </c:cat>
          <c:val>
            <c:numRef>
              <c:f>'Summarised cost results'!$D$8</c:f>
              <c:numCache>
                <c:formatCode>#,##0.0</c:formatCode>
                <c:ptCount val="1"/>
                <c:pt idx="0">
                  <c:v>24.80654832284451</c:v>
                </c:pt>
              </c:numCache>
            </c:numRef>
          </c:val>
        </c:ser>
        <c:ser>
          <c:idx val="4"/>
          <c:order val="4"/>
          <c:tx>
            <c:strRef>
              <c:f>'Summarised cost results'!$B$9:$C$9</c:f>
              <c:strCache>
                <c:ptCount val="2"/>
                <c:pt idx="0">
                  <c:v>Utilities</c:v>
                </c:pt>
                <c:pt idx="1">
                  <c:v>Fixed OPEX</c:v>
                </c:pt>
              </c:strCache>
            </c:strRef>
          </c:tx>
          <c:spPr>
            <a:solidFill>
              <a:schemeClr val="accent5"/>
            </a:solidFill>
            <a:ln>
              <a:noFill/>
            </a:ln>
            <a:effectLst/>
          </c:spPr>
          <c:invertIfNegative val="0"/>
          <c:cat>
            <c:strLit>
              <c:ptCount val="1"/>
              <c:pt idx="0">
                <c:v>Detailed breakdown</c:v>
              </c:pt>
            </c:strLit>
          </c:cat>
          <c:val>
            <c:numRef>
              <c:f>'Summarised cost results'!$D$9</c:f>
              <c:numCache>
                <c:formatCode>#,##0.0</c:formatCode>
                <c:ptCount val="1"/>
                <c:pt idx="0">
                  <c:v>13.483489891287441</c:v>
                </c:pt>
              </c:numCache>
            </c:numRef>
          </c:val>
        </c:ser>
        <c:ser>
          <c:idx val="5"/>
          <c:order val="5"/>
          <c:tx>
            <c:strRef>
              <c:f>'Summarised cost results'!$B$11:$C$11</c:f>
              <c:strCache>
                <c:ptCount val="2"/>
                <c:pt idx="0">
                  <c:v>Utilities</c:v>
                </c:pt>
                <c:pt idx="1">
                  <c:v>Other variable OPEX</c:v>
                </c:pt>
              </c:strCache>
            </c:strRef>
          </c:tx>
          <c:spPr>
            <a:solidFill>
              <a:schemeClr val="accent6"/>
            </a:solidFill>
            <a:ln>
              <a:noFill/>
            </a:ln>
            <a:effectLst/>
          </c:spPr>
          <c:invertIfNegative val="0"/>
          <c:cat>
            <c:strLit>
              <c:ptCount val="1"/>
              <c:pt idx="0">
                <c:v>Detailed breakdown</c:v>
              </c:pt>
            </c:strLit>
          </c:cat>
          <c:val>
            <c:numRef>
              <c:f>'Summarised cost results'!$D$11</c:f>
              <c:numCache>
                <c:formatCode>#,##0.0</c:formatCode>
                <c:ptCount val="1"/>
                <c:pt idx="0">
                  <c:v>0.56452086664714674</c:v>
                </c:pt>
              </c:numCache>
            </c:numRef>
          </c:val>
        </c:ser>
        <c:ser>
          <c:idx val="9"/>
          <c:order val="6"/>
          <c:tx>
            <c:strRef>
              <c:f>'Summarised cost results'!$F$4:$G$4</c:f>
              <c:strCache>
                <c:ptCount val="2"/>
                <c:pt idx="0">
                  <c:v>Utilities</c:v>
                </c:pt>
                <c:pt idx="1">
                  <c:v>Natural gas cost</c:v>
                </c:pt>
              </c:strCache>
            </c:strRef>
          </c:tx>
          <c:spPr>
            <a:solidFill>
              <a:srgbClr val="00B050"/>
            </a:solidFill>
            <a:ln>
              <a:noFill/>
            </a:ln>
            <a:effectLst/>
          </c:spPr>
          <c:invertIfNegative val="0"/>
          <c:val>
            <c:numRef>
              <c:f>'Summarised cost results'!$H$4</c:f>
              <c:numCache>
                <c:formatCode>0.0</c:formatCode>
                <c:ptCount val="1"/>
                <c:pt idx="0">
                  <c:v>59.325990309026672</c:v>
                </c:pt>
              </c:numCache>
            </c:numRef>
          </c:val>
        </c:ser>
        <c:ser>
          <c:idx val="0"/>
          <c:order val="7"/>
          <c:tx>
            <c:strRef>
              <c:f>'Summarised cost results'!$B$4:$C$4</c:f>
              <c:strCache>
                <c:ptCount val="2"/>
                <c:pt idx="1">
                  <c:v>CAPEX</c:v>
                </c:pt>
              </c:strCache>
            </c:strRef>
          </c:tx>
          <c:spPr>
            <a:solidFill>
              <a:schemeClr val="accent1"/>
            </a:solidFill>
            <a:ln>
              <a:noFill/>
            </a:ln>
            <a:effectLst/>
          </c:spPr>
          <c:invertIfNegative val="0"/>
          <c:cat>
            <c:strLit>
              <c:ptCount val="1"/>
              <c:pt idx="0">
                <c:v>Detailed breakdown</c:v>
              </c:pt>
            </c:strLit>
          </c:cat>
          <c:val>
            <c:numRef>
              <c:f>'Summarised cost results'!$D$4</c:f>
              <c:numCache>
                <c:formatCode>#,##0.0</c:formatCode>
                <c:ptCount val="1"/>
                <c:pt idx="0">
                  <c:v>35.677086344537152</c:v>
                </c:pt>
              </c:numCache>
            </c:numRef>
          </c:val>
        </c:ser>
        <c:ser>
          <c:idx val="1"/>
          <c:order val="8"/>
          <c:tx>
            <c:strRef>
              <c:f>'Summarised cost results'!$B$5:$C$5</c:f>
              <c:strCache>
                <c:ptCount val="2"/>
                <c:pt idx="1">
                  <c:v>Fixed OPEX</c:v>
                </c:pt>
              </c:strCache>
            </c:strRef>
          </c:tx>
          <c:spPr>
            <a:solidFill>
              <a:schemeClr val="accent2"/>
            </a:solidFill>
            <a:ln>
              <a:noFill/>
            </a:ln>
            <a:effectLst/>
          </c:spPr>
          <c:invertIfNegative val="0"/>
          <c:cat>
            <c:strLit>
              <c:ptCount val="1"/>
              <c:pt idx="0">
                <c:v>Detailed breakdown</c:v>
              </c:pt>
            </c:strLit>
          </c:cat>
          <c:val>
            <c:numRef>
              <c:f>'Summarised cost results'!$D$5</c:f>
              <c:numCache>
                <c:formatCode>#,##0.0</c:formatCode>
                <c:ptCount val="1"/>
                <c:pt idx="0">
                  <c:v>16.344412787944307</c:v>
                </c:pt>
              </c:numCache>
            </c:numRef>
          </c:val>
        </c:ser>
        <c:ser>
          <c:idx val="2"/>
          <c:order val="9"/>
          <c:tx>
            <c:strRef>
              <c:f>'Summarised cost results'!$B$6:$C$6</c:f>
              <c:strCache>
                <c:ptCount val="2"/>
                <c:pt idx="1">
                  <c:v>Variable OPEX</c:v>
                </c:pt>
              </c:strCache>
            </c:strRef>
          </c:tx>
          <c:spPr>
            <a:solidFill>
              <a:schemeClr val="accent3"/>
            </a:solidFill>
            <a:ln>
              <a:noFill/>
            </a:ln>
            <a:effectLst/>
          </c:spPr>
          <c:invertIfNegative val="0"/>
          <c:cat>
            <c:strLit>
              <c:ptCount val="1"/>
              <c:pt idx="0">
                <c:v>Detailed breakdown</c:v>
              </c:pt>
            </c:strLit>
          </c:cat>
          <c:val>
            <c:numRef>
              <c:f>'Summarised cost results'!$D$6</c:f>
              <c:numCache>
                <c:formatCode>#,##0.0</c:formatCode>
                <c:ptCount val="1"/>
                <c:pt idx="0">
                  <c:v>8.707341463344564</c:v>
                </c:pt>
              </c:numCache>
            </c:numRef>
          </c:val>
        </c:ser>
        <c:dLbls>
          <c:showLegendKey val="0"/>
          <c:showVal val="0"/>
          <c:showCatName val="0"/>
          <c:showSerName val="0"/>
          <c:showPercent val="0"/>
          <c:showBubbleSize val="0"/>
        </c:dLbls>
        <c:gapWidth val="150"/>
        <c:overlap val="100"/>
        <c:axId val="507228176"/>
        <c:axId val="507228568"/>
      </c:barChart>
      <c:catAx>
        <c:axId val="50722817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28568"/>
        <c:crosses val="autoZero"/>
        <c:auto val="1"/>
        <c:lblAlgn val="ctr"/>
        <c:lblOffset val="100"/>
        <c:noMultiLvlLbl val="0"/>
      </c:catAx>
      <c:valAx>
        <c:axId val="50722856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1.2780348832877996E-3"/>
              <c:y val="0.168013298337707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28176"/>
        <c:crosses val="autoZero"/>
        <c:crossBetween val="between"/>
      </c:valAx>
      <c:spPr>
        <a:noFill/>
        <a:ln>
          <a:noFill/>
        </a:ln>
        <a:effectLst/>
      </c:spPr>
    </c:plotArea>
    <c:legend>
      <c:legendPos val="r"/>
      <c:layout>
        <c:manualLayout>
          <c:xMode val="edge"/>
          <c:yMode val="edge"/>
          <c:x val="0.45033612277679097"/>
          <c:y val="0.22589886264216974"/>
          <c:w val="0.54504472397277404"/>
          <c:h val="0.5696566929133857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861908460886656"/>
          <c:y val="5.0925925925925923E-2"/>
          <c:w val="0.36774895632661031"/>
          <c:h val="0.8416746864975212"/>
        </c:manualLayout>
      </c:layout>
      <c:barChart>
        <c:barDir val="col"/>
        <c:grouping val="stacked"/>
        <c:varyColors val="0"/>
        <c:ser>
          <c:idx val="0"/>
          <c:order val="0"/>
          <c:tx>
            <c:strRef>
              <c:f>'Summarised cost results'!$B$13</c:f>
              <c:strCache>
                <c:ptCount val="1"/>
                <c:pt idx="0">
                  <c:v>Interconnecting</c:v>
                </c:pt>
              </c:strCache>
            </c:strRef>
          </c:tx>
          <c:spPr>
            <a:solidFill>
              <a:schemeClr val="accent1"/>
            </a:solidFill>
            <a:ln>
              <a:noFill/>
            </a:ln>
            <a:effectLst/>
          </c:spPr>
          <c:invertIfNegative val="0"/>
          <c:cat>
            <c:strLit>
              <c:ptCount val="1"/>
              <c:pt idx="0">
                <c:v>Overall Breakdown</c:v>
              </c:pt>
            </c:strLit>
          </c:cat>
          <c:val>
            <c:numRef>
              <c:f>'Summarised cost results'!$D$13</c:f>
              <c:numCache>
                <c:formatCode>0.0</c:formatCode>
                <c:ptCount val="1"/>
                <c:pt idx="0">
                  <c:v>30.905531502158105</c:v>
                </c:pt>
              </c:numCache>
            </c:numRef>
          </c:val>
        </c:ser>
        <c:ser>
          <c:idx val="1"/>
          <c:order val="1"/>
          <c:tx>
            <c:strRef>
              <c:f>'Summarised cost results'!$B$7</c:f>
              <c:strCache>
                <c:ptCount val="1"/>
                <c:pt idx="0">
                  <c:v>Utilities</c:v>
                </c:pt>
              </c:strCache>
            </c:strRef>
          </c:tx>
          <c:spPr>
            <a:solidFill>
              <a:schemeClr val="accent2"/>
            </a:solidFill>
            <a:ln>
              <a:noFill/>
            </a:ln>
            <a:effectLst/>
          </c:spPr>
          <c:invertIfNegative val="0"/>
          <c:cat>
            <c:strLit>
              <c:ptCount val="1"/>
              <c:pt idx="0">
                <c:v>Overall Breakdown</c:v>
              </c:pt>
            </c:strLit>
          </c:cat>
          <c:val>
            <c:numRef>
              <c:f>'Summarised cost results'!$D$7</c:f>
              <c:numCache>
                <c:formatCode>0.0</c:formatCode>
                <c:ptCount val="1"/>
                <c:pt idx="0">
                  <c:v>98.180549389805776</c:v>
                </c:pt>
              </c:numCache>
            </c:numRef>
          </c:val>
        </c:ser>
        <c:ser>
          <c:idx val="2"/>
          <c:order val="2"/>
          <c:tx>
            <c:strRef>
              <c:f>'Summarised cost results'!$B$3</c:f>
              <c:strCache>
                <c:ptCount val="1"/>
                <c:pt idx="0">
                  <c:v>CO2 capture and compression</c:v>
                </c:pt>
              </c:strCache>
            </c:strRef>
          </c:tx>
          <c:spPr>
            <a:solidFill>
              <a:schemeClr val="accent3"/>
            </a:solidFill>
            <a:ln>
              <a:noFill/>
            </a:ln>
            <a:effectLst/>
          </c:spPr>
          <c:invertIfNegative val="0"/>
          <c:cat>
            <c:strLit>
              <c:ptCount val="1"/>
              <c:pt idx="0">
                <c:v>Overall Breakdown</c:v>
              </c:pt>
            </c:strLit>
          </c:cat>
          <c:val>
            <c:numRef>
              <c:f>'Summarised cost results'!$D$3</c:f>
              <c:numCache>
                <c:formatCode>0.0</c:formatCode>
                <c:ptCount val="1"/>
                <c:pt idx="0">
                  <c:v>60.728840595826021</c:v>
                </c:pt>
              </c:numCache>
            </c:numRef>
          </c:val>
        </c:ser>
        <c:dLbls>
          <c:showLegendKey val="0"/>
          <c:showVal val="0"/>
          <c:showCatName val="0"/>
          <c:showSerName val="0"/>
          <c:showPercent val="0"/>
          <c:showBubbleSize val="0"/>
        </c:dLbls>
        <c:gapWidth val="150"/>
        <c:overlap val="100"/>
        <c:axId val="507225432"/>
        <c:axId val="507232096"/>
      </c:barChart>
      <c:catAx>
        <c:axId val="507225432"/>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32096"/>
        <c:crosses val="autoZero"/>
        <c:auto val="1"/>
        <c:lblAlgn val="ctr"/>
        <c:lblOffset val="100"/>
        <c:noMultiLvlLbl val="0"/>
      </c:catAx>
      <c:valAx>
        <c:axId val="50723209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b-NO"/>
                  <a:t>Cost of retrofitting CO</a:t>
                </a:r>
                <a:r>
                  <a:rPr lang="nb-NO" baseline="-25000"/>
                  <a:t>2</a:t>
                </a:r>
                <a:r>
                  <a:rPr lang="nb-NO"/>
                  <a:t> capture </a:t>
                </a:r>
                <a:r>
                  <a:rPr lang="nb-NO" baseline="0"/>
                  <a:t>($/t</a:t>
                </a:r>
                <a:r>
                  <a:rPr lang="nb-NO" baseline="-25000"/>
                  <a:t>CO2,avoided</a:t>
                </a:r>
                <a:r>
                  <a:rPr lang="nb-NO" baseline="0"/>
                  <a:t>)</a:t>
                </a:r>
                <a:endParaRPr lang="nb-NO"/>
              </a:p>
            </c:rich>
          </c:tx>
          <c:layout>
            <c:manualLayout>
              <c:xMode val="edge"/>
              <c:yMode val="edge"/>
              <c:x val="8.0399432829516995E-4"/>
              <c:y val="0.172457742782152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crossAx val="507225432"/>
        <c:crosses val="autoZero"/>
        <c:crossBetween val="between"/>
      </c:valAx>
      <c:spPr>
        <a:noFill/>
        <a:ln>
          <a:noFill/>
        </a:ln>
        <a:effectLst/>
      </c:spPr>
    </c:plotArea>
    <c:legend>
      <c:legendPos val="r"/>
      <c:layout>
        <c:manualLayout>
          <c:xMode val="edge"/>
          <c:yMode val="edge"/>
          <c:x val="0.51202923684557888"/>
          <c:y val="0.41145450568678904"/>
          <c:w val="0.48236719662910071"/>
          <c:h val="0.1909798775153105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1400"/>
            </a:pPr>
            <a:r>
              <a:rPr lang="en-US" sz="1400"/>
              <a:t>Sensitivity analyses on cost of retrofitting CO</a:t>
            </a:r>
            <a:r>
              <a:rPr lang="en-US" sz="1400" baseline="-25000"/>
              <a:t>2</a:t>
            </a:r>
            <a:r>
              <a:rPr lang="en-US" sz="1400"/>
              <a:t> capture ($/t</a:t>
            </a:r>
            <a:r>
              <a:rPr lang="en-US" sz="1400" baseline="-25000"/>
              <a:t>CO2,avoided</a:t>
            </a:r>
            <a:r>
              <a:rPr lang="en-US" sz="1400"/>
              <a:t>)</a:t>
            </a:r>
            <a:endParaRPr lang="nb-NO" sz="1400"/>
          </a:p>
          <a:p>
            <a:pPr algn="ctr" rtl="0">
              <a:defRPr sz="1400"/>
            </a:pPr>
            <a:endParaRPr lang="en-US" sz="1400"/>
          </a:p>
        </c:rich>
      </c:tx>
      <c:layout>
        <c:manualLayout>
          <c:xMode val="edge"/>
          <c:yMode val="edge"/>
          <c:x val="0.28341583768782486"/>
          <c:y val="0"/>
        </c:manualLayout>
      </c:layout>
      <c:overlay val="0"/>
    </c:title>
    <c:autoTitleDeleted val="0"/>
    <c:plotArea>
      <c:layout>
        <c:manualLayout>
          <c:layoutTarget val="inner"/>
          <c:xMode val="edge"/>
          <c:yMode val="edge"/>
          <c:x val="3.1178091004595742E-2"/>
          <c:y val="0.12933858267716536"/>
          <c:w val="0.94320168909785895"/>
          <c:h val="0.86493529613146181"/>
        </c:manualLayout>
      </c:layout>
      <c:barChart>
        <c:barDir val="bar"/>
        <c:grouping val="stacked"/>
        <c:varyColors val="0"/>
        <c:ser>
          <c:idx val="0"/>
          <c:order val="0"/>
          <c:tx>
            <c:strRef>
              <c:f>'Sensitivity analyses'!$J$3</c:f>
              <c:strCache>
                <c:ptCount val="1"/>
                <c:pt idx="0">
                  <c:v>Minimum value</c:v>
                </c:pt>
              </c:strCache>
            </c:strRef>
          </c:tx>
          <c:spPr>
            <a:noFill/>
            <a:ln>
              <a:no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analyses'!$J$5:$J$16</c:f>
              <c:numCache>
                <c:formatCode>0.0</c:formatCode>
                <c:ptCount val="12"/>
                <c:pt idx="0">
                  <c:v>176.87651666883238</c:v>
                </c:pt>
                <c:pt idx="1">
                  <c:v>182.82271414331231</c:v>
                </c:pt>
                <c:pt idx="2">
                  <c:v>172.01712439508191</c:v>
                </c:pt>
                <c:pt idx="3">
                  <c:v>187.96054902179156</c:v>
                </c:pt>
                <c:pt idx="4">
                  <c:v>171.5962693090421</c:v>
                </c:pt>
                <c:pt idx="5">
                  <c:v>160.36075667084819</c:v>
                </c:pt>
                <c:pt idx="6">
                  <c:v>180.54326203714248</c:v>
                </c:pt>
                <c:pt idx="7">
                  <c:v>179.18692414616766</c:v>
                </c:pt>
                <c:pt idx="8">
                  <c:v>150.45531466752101</c:v>
                </c:pt>
                <c:pt idx="9">
                  <c:v>180.77429350865157</c:v>
                </c:pt>
                <c:pt idx="10">
                  <c:v>164.76570913686732</c:v>
                </c:pt>
                <c:pt idx="11">
                  <c:v>186.27015304423989</c:v>
                </c:pt>
              </c:numCache>
            </c:numRef>
          </c:val>
        </c:ser>
        <c:ser>
          <c:idx val="1"/>
          <c:order val="1"/>
          <c:tx>
            <c:v>Increase of the parameter</c:v>
          </c:tx>
          <c:spPr>
            <a:solidFill>
              <a:schemeClr val="accent5">
                <a:lumMod val="60000"/>
                <a:lumOff val="40000"/>
              </a:schemeClr>
            </a:solidFill>
            <a:ln w="31750">
              <a:solidFill>
                <a:schemeClr val="accent5"/>
              </a:solidFill>
            </a:ln>
          </c:spPr>
          <c:invertIfNegative val="0"/>
          <c:cat>
            <c:strRef>
              <c:f>'Sensitivity analyses'!$C$5:$C$16</c:f>
              <c:strCache>
                <c:ptCount val="12"/>
                <c:pt idx="0">
                  <c:v>CAPEX</c:v>
                </c:pt>
                <c:pt idx="1">
                  <c:v>Fixed OPEX</c:v>
                </c:pt>
                <c:pt idx="2">
                  <c:v>Natural gas cost</c:v>
                </c:pt>
                <c:pt idx="3">
                  <c:v>Other variable OPEX </c:v>
                </c:pt>
                <c:pt idx="4">
                  <c:v>CO2 capture and compression</c:v>
                </c:pt>
                <c:pt idx="5">
                  <c:v>Utilities</c:v>
                </c:pt>
                <c:pt idx="6">
                  <c:v>Interconnecting</c:v>
                </c:pt>
                <c:pt idx="7">
                  <c:v>CHP plant CAPEX</c:v>
                </c:pt>
                <c:pt idx="8">
                  <c:v>Steam consumption</c:v>
                </c:pt>
                <c:pt idx="9">
                  <c:v>Project duration</c:v>
                </c:pt>
                <c:pt idx="10">
                  <c:v>Discount rate</c:v>
                </c:pt>
                <c:pt idx="11">
                  <c:v>Utilisation rate</c:v>
                </c:pt>
              </c:strCache>
            </c:strRef>
          </c:cat>
          <c:val>
            <c:numRef>
              <c:f>'Sensitivity analyses'!$K$5:$K$16</c:f>
              <c:numCache>
                <c:formatCode>0</c:formatCode>
                <c:ptCount val="12"/>
                <c:pt idx="0">
                  <c:v>43.128016063191751</c:v>
                </c:pt>
                <c:pt idx="1">
                  <c:v>13.984414688955212</c:v>
                </c:pt>
                <c:pt idx="2">
                  <c:v>35.595594185416019</c:v>
                </c:pt>
                <c:pt idx="3">
                  <c:v>3.708744931996705</c:v>
                </c:pt>
                <c:pt idx="4">
                  <c:v>36.437304357495634</c:v>
                </c:pt>
                <c:pt idx="5">
                  <c:v>58.908329633883454</c:v>
                </c:pt>
                <c:pt idx="6">
                  <c:v>18.543318901294867</c:v>
                </c:pt>
                <c:pt idx="7">
                  <c:v>10.627997341622262</c:v>
                </c:pt>
                <c:pt idx="8">
                  <c:v>39.359606820268908</c:v>
                </c:pt>
                <c:pt idx="9">
                  <c:v>60.005559820510285</c:v>
                </c:pt>
                <c:pt idx="10">
                  <c:v>51.997778842227746</c:v>
                </c:pt>
                <c:pt idx="11">
                  <c:v>35.447684435500065</c:v>
                </c:pt>
              </c:numCache>
            </c:numRef>
          </c:val>
        </c:ser>
        <c:dLbls>
          <c:showLegendKey val="0"/>
          <c:showVal val="0"/>
          <c:showCatName val="0"/>
          <c:showSerName val="0"/>
          <c:showPercent val="0"/>
          <c:showBubbleSize val="0"/>
        </c:dLbls>
        <c:gapWidth val="55"/>
        <c:overlap val="100"/>
        <c:axId val="507232488"/>
        <c:axId val="506467632"/>
      </c:barChart>
      <c:catAx>
        <c:axId val="507232488"/>
        <c:scaling>
          <c:orientation val="maxMin"/>
        </c:scaling>
        <c:delete val="0"/>
        <c:axPos val="l"/>
        <c:numFmt formatCode="General" sourceLinked="1"/>
        <c:majorTickMark val="none"/>
        <c:minorTickMark val="none"/>
        <c:tickLblPos val="nextTo"/>
        <c:spPr>
          <a:ln>
            <a:solidFill>
              <a:schemeClr val="tx1"/>
            </a:solidFill>
          </a:ln>
        </c:spPr>
        <c:txPr>
          <a:bodyPr/>
          <a:lstStyle/>
          <a:p>
            <a:pPr>
              <a:defRPr sz="1200"/>
            </a:pPr>
            <a:endParaRPr lang="nb-NO"/>
          </a:p>
        </c:txPr>
        <c:crossAx val="506467632"/>
        <c:crosses val="autoZero"/>
        <c:auto val="1"/>
        <c:lblAlgn val="ctr"/>
        <c:lblOffset val="100"/>
        <c:noMultiLvlLbl val="0"/>
      </c:catAx>
      <c:valAx>
        <c:axId val="506467632"/>
        <c:scaling>
          <c:orientation val="minMax"/>
        </c:scaling>
        <c:delete val="0"/>
        <c:axPos val="t"/>
        <c:numFmt formatCode="#,##0" sourceLinked="0"/>
        <c:majorTickMark val="out"/>
        <c:minorTickMark val="none"/>
        <c:tickLblPos val="nextTo"/>
        <c:spPr>
          <a:ln>
            <a:solidFill>
              <a:schemeClr val="tx1"/>
            </a:solidFill>
          </a:ln>
        </c:spPr>
        <c:txPr>
          <a:bodyPr/>
          <a:lstStyle/>
          <a:p>
            <a:pPr>
              <a:defRPr sz="1200"/>
            </a:pPr>
            <a:endParaRPr lang="nb-NO"/>
          </a:p>
        </c:txPr>
        <c:crossAx val="507232488"/>
        <c:crosses val="autoZero"/>
        <c:crossBetween val="between"/>
      </c:valAx>
    </c:plotArea>
    <c:plotVisOnly val="1"/>
    <c:dispBlanksAs val="gap"/>
    <c:showDLblsOverMax val="0"/>
  </c:chart>
  <c:spPr>
    <a:ln>
      <a:noFill/>
    </a:ln>
  </c:spPr>
  <c:txPr>
    <a:bodyPr/>
    <a:lstStyle/>
    <a:p>
      <a:pPr>
        <a:defRPr sz="800"/>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sintef.no/home/SINTEF-Energy-Research/" TargetMode="External"/><Relationship Id="rId1" Type="http://schemas.openxmlformats.org/officeDocument/2006/relationships/image" Target="../media/image1.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39</xdr:col>
      <xdr:colOff>152400</xdr:colOff>
      <xdr:row>66</xdr:row>
      <xdr:rowOff>68580</xdr:rowOff>
    </xdr:to>
    <xdr:sp macro="" textlink="">
      <xdr:nvSpPr>
        <xdr:cNvPr id="3" name="Rectangle 2"/>
        <xdr:cNvSpPr/>
      </xdr:nvSpPr>
      <xdr:spPr>
        <a:xfrm>
          <a:off x="0" y="0"/>
          <a:ext cx="23183850" cy="12641580"/>
        </a:xfrm>
        <a:prstGeom prst="rect">
          <a:avLst/>
        </a:prstGeom>
        <a:solidFill>
          <a:schemeClr val="bg1">
            <a:lumMod val="8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b-NO" sz="1100"/>
        </a:p>
      </xdr:txBody>
    </xdr:sp>
    <xdr:clientData/>
  </xdr:twoCellAnchor>
  <xdr:twoCellAnchor>
    <xdr:from>
      <xdr:col>9</xdr:col>
      <xdr:colOff>51435</xdr:colOff>
      <xdr:row>1</xdr:row>
      <xdr:rowOff>118110</xdr:rowOff>
    </xdr:from>
    <xdr:to>
      <xdr:col>20</xdr:col>
      <xdr:colOff>28575</xdr:colOff>
      <xdr:row>7</xdr:row>
      <xdr:rowOff>3810</xdr:rowOff>
    </xdr:to>
    <xdr:sp macro="" textlink="">
      <xdr:nvSpPr>
        <xdr:cNvPr id="4" name="TextBox 3"/>
        <xdr:cNvSpPr txBox="1"/>
      </xdr:nvSpPr>
      <xdr:spPr>
        <a:xfrm>
          <a:off x="5366385" y="308610"/>
          <a:ext cx="647319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nb-NO" sz="2400" b="1">
              <a:solidFill>
                <a:sysClr val="windowText" lastClr="000000"/>
              </a:solidFill>
            </a:rPr>
            <a:t>Spreadsheet </a:t>
          </a:r>
          <a:r>
            <a:rPr lang="nb-NO" sz="2400" b="1"/>
            <a:t>for evaluation of cost of retrofitting CO</a:t>
          </a:r>
          <a:r>
            <a:rPr lang="nb-NO" sz="2400" b="1" baseline="-25000"/>
            <a:t>2</a:t>
          </a:r>
          <a:r>
            <a:rPr lang="nb-NO" sz="2400" b="1"/>
            <a:t> capture from refineries</a:t>
          </a:r>
          <a:endParaRPr lang="nb-NO" sz="2000"/>
        </a:p>
      </xdr:txBody>
    </xdr:sp>
    <xdr:clientData/>
  </xdr:twoCellAnchor>
  <xdr:twoCellAnchor>
    <xdr:from>
      <xdr:col>0</xdr:col>
      <xdr:colOff>0</xdr:colOff>
      <xdr:row>8</xdr:row>
      <xdr:rowOff>28575</xdr:rowOff>
    </xdr:from>
    <xdr:to>
      <xdr:col>31</xdr:col>
      <xdr:colOff>314324</xdr:colOff>
      <xdr:row>67</xdr:row>
      <xdr:rowOff>95250</xdr:rowOff>
    </xdr:to>
    <mc:AlternateContent xmlns:mc="http://schemas.openxmlformats.org/markup-compatibility/2006" xmlns:a14="http://schemas.microsoft.com/office/drawing/2010/main">
      <mc:Choice Requires="a14">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en-GB" sz="1100" i="0">
                  <a:solidFill>
                    <a:sysClr val="windowText" lastClr="000000"/>
                  </a:solidFill>
                  <a:effectLst/>
                  <a:latin typeface="+mn-lt"/>
                  <a:ea typeface="+mn-ea"/>
                  <a:cs typeface="+mn-cs"/>
                </a:rPr>
                <a:t> 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14:m>
                <m:oMath xmlns:m="http://schemas.openxmlformats.org/officeDocument/2006/math">
                  <m:r>
                    <a:rPr lang="en-GB" sz="1100" b="0" i="0">
                      <a:solidFill>
                        <a:schemeClr val="dk1"/>
                      </a:solidFill>
                      <a:effectLst/>
                      <a:latin typeface="Cambria Math" panose="02040503050406030204" pitchFamily="18" charset="0"/>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cost</m:t>
                  </m:r>
                  <m:r>
                    <m:rPr>
                      <m:nor/>
                    </m:rPr>
                    <a:rPr lang="en-US" sz="1100">
                      <a:solidFill>
                        <a:schemeClr val="dk1"/>
                      </a:solidFill>
                      <a:effectLst/>
                      <a:latin typeface="+mn-lt"/>
                      <a:ea typeface="+mn-ea"/>
                      <a:cs typeface="+mn-cs"/>
                    </a:rPr>
                    <m:t> =</m:t>
                  </m:r>
                  <m:r>
                    <a:rPr lang="en-US" sz="1100" i="1">
                      <a:solidFill>
                        <a:schemeClr val="dk1"/>
                      </a:solidFill>
                      <a:effectLst/>
                      <a:latin typeface="Cambria Math" panose="02040503050406030204" pitchFamily="18" charset="0"/>
                      <a:ea typeface="+mn-ea"/>
                      <a:cs typeface="+mn-cs"/>
                    </a:rPr>
                    <m:t> </m:t>
                  </m:r>
                  <m:f>
                    <m:fPr>
                      <m:ctrlPr>
                        <a:rPr lang="nb-NO" sz="1100" i="1">
                          <a:solidFill>
                            <a:schemeClr val="dk1"/>
                          </a:solidFill>
                          <a:effectLst/>
                          <a:latin typeface="Cambria Math" panose="02040503050406030204" pitchFamily="18" charset="0"/>
                          <a:ea typeface="+mn-ea"/>
                          <a:cs typeface="+mn-cs"/>
                        </a:rPr>
                      </m:ctrlPr>
                    </m:fPr>
                    <m:num>
                      <m:r>
                        <m:rPr>
                          <m:nor/>
                        </m:rPr>
                        <a:rPr lang="en-US" sz="1100">
                          <a:solidFill>
                            <a:schemeClr val="dk1"/>
                          </a:solidFill>
                          <a:effectLst/>
                          <a:latin typeface="+mn-lt"/>
                          <a:ea typeface="+mn-ea"/>
                          <a:cs typeface="+mn-cs"/>
                        </a:rPr>
                        <m:t>Annualized</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CAPEX</m:t>
                      </m:r>
                      <m:r>
                        <m:rPr>
                          <m:nor/>
                        </m:rPr>
                        <a:rPr lang="en-US" sz="1100">
                          <a:solidFill>
                            <a:schemeClr val="dk1"/>
                          </a:solidFill>
                          <a:effectLst/>
                          <a:latin typeface="+mn-lt"/>
                          <a:ea typeface="+mn-ea"/>
                          <a:cs typeface="+mn-cs"/>
                        </a:rPr>
                        <m:t> + </m:t>
                      </m:r>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GB" sz="1100" b="0" i="0">
                          <a:solidFill>
                            <a:schemeClr val="dk1"/>
                          </a:solidFill>
                          <a:effectLst/>
                          <a:latin typeface="+mn-lt"/>
                          <a:ea typeface="+mn-ea"/>
                          <a:cs typeface="+mn-cs"/>
                        </a:rPr>
                        <m:t>CO</m:t>
                      </m:r>
                      <m:r>
                        <m:rPr>
                          <m:nor/>
                        </m:rPr>
                        <a:rPr lang="en-GB" sz="1100" b="0" i="0" baseline="-25000">
                          <a:solidFill>
                            <a:schemeClr val="dk1"/>
                          </a:solidFill>
                          <a:effectLst/>
                          <a:latin typeface="+mn-lt"/>
                          <a:ea typeface="+mn-ea"/>
                          <a:cs typeface="+mn-cs"/>
                        </a:rPr>
                        <m:t>2</m:t>
                      </m:r>
                      <m:r>
                        <m:rPr>
                          <m:nor/>
                        </m:rPr>
                        <a:rPr lang="en-GB" sz="1100" b="0" i="0">
                          <a:solidFill>
                            <a:schemeClr val="dk1"/>
                          </a:solidFill>
                          <a:effectLst/>
                          <a:latin typeface="+mn-lt"/>
                          <a:ea typeface="+mn-ea"/>
                          <a:cs typeface="+mn-cs"/>
                        </a:rPr>
                        <m:t> </m:t>
                      </m:r>
                      <m:r>
                        <m:rPr>
                          <m:nor/>
                        </m:rPr>
                        <a:rPr lang="en-GB" sz="1100" b="0" i="0">
                          <a:solidFill>
                            <a:schemeClr val="dk1"/>
                          </a:solidFill>
                          <a:effectLst/>
                          <a:latin typeface="+mn-lt"/>
                          <a:ea typeface="+mn-ea"/>
                          <a:cs typeface="+mn-cs"/>
                        </a:rPr>
                        <m:t>capture</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OPEX</m:t>
                      </m:r>
                    </m:num>
                    <m:den>
                      <m:r>
                        <m:rPr>
                          <m:nor/>
                        </m:rPr>
                        <a:rPr lang="en-US" sz="1100">
                          <a:solidFill>
                            <a:schemeClr val="dk1"/>
                          </a:solidFill>
                          <a:effectLst/>
                          <a:latin typeface="+mn-lt"/>
                          <a:ea typeface="+mn-ea"/>
                          <a:cs typeface="+mn-cs"/>
                        </a:rPr>
                        <m:t>Annual</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amount</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of</m:t>
                      </m:r>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C</m:t>
                      </m:r>
                      <m:sSub>
                        <m:sSubPr>
                          <m:ctrlPr>
                            <a:rPr lang="nb-NO" sz="1100" i="1">
                              <a:solidFill>
                                <a:schemeClr val="dk1"/>
                              </a:solidFill>
                              <a:effectLst/>
                              <a:latin typeface="Cambria Math" panose="02040503050406030204" pitchFamily="18" charset="0"/>
                              <a:ea typeface="+mn-ea"/>
                              <a:cs typeface="+mn-cs"/>
                            </a:rPr>
                          </m:ctrlPr>
                        </m:sSubPr>
                        <m:e>
                          <m:r>
                            <m:rPr>
                              <m:nor/>
                            </m:rPr>
                            <a:rPr lang="en-US" sz="1100">
                              <a:solidFill>
                                <a:schemeClr val="dk1"/>
                              </a:solidFill>
                              <a:effectLst/>
                              <a:latin typeface="+mn-lt"/>
                              <a:ea typeface="+mn-ea"/>
                              <a:cs typeface="+mn-cs"/>
                            </a:rPr>
                            <m:t>O</m:t>
                          </m:r>
                        </m:e>
                        <m:sub>
                          <m:r>
                            <m:rPr>
                              <m:nor/>
                            </m:rPr>
                            <a:rPr lang="en-US" sz="1100">
                              <a:solidFill>
                                <a:schemeClr val="dk1"/>
                              </a:solidFill>
                              <a:effectLst/>
                              <a:latin typeface="+mn-lt"/>
                              <a:ea typeface="+mn-ea"/>
                              <a:cs typeface="+mn-cs"/>
                            </a:rPr>
                            <m:t>2</m:t>
                          </m:r>
                        </m:sub>
                      </m:sSub>
                      <m:r>
                        <m:rPr>
                          <m:nor/>
                        </m:rPr>
                        <a:rPr lang="en-US" sz="1100">
                          <a:solidFill>
                            <a:schemeClr val="dk1"/>
                          </a:solidFill>
                          <a:effectLst/>
                          <a:latin typeface="+mn-lt"/>
                          <a:ea typeface="+mn-ea"/>
                          <a:cs typeface="+mn-cs"/>
                        </a:rPr>
                        <m:t> </m:t>
                      </m:r>
                      <m:r>
                        <m:rPr>
                          <m:nor/>
                        </m:rPr>
                        <a:rPr lang="en-US" sz="1100">
                          <a:solidFill>
                            <a:schemeClr val="dk1"/>
                          </a:solidFill>
                          <a:effectLst/>
                          <a:latin typeface="+mn-lt"/>
                          <a:ea typeface="+mn-ea"/>
                          <a:cs typeface="+mn-cs"/>
                        </a:rPr>
                        <m:t>avoided</m:t>
                      </m:r>
                    </m:den>
                  </m:f>
                </m:oMath>
              </a14:m>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Choice>
      <mc:Fallback xmlns="">
        <xdr:sp macro="" textlink="">
          <xdr:nvSpPr>
            <xdr:cNvPr id="6" name="TextBox 5"/>
            <xdr:cNvSpPr txBox="1"/>
          </xdr:nvSpPr>
          <xdr:spPr>
            <a:xfrm>
              <a:off x="0" y="1552575"/>
              <a:ext cx="18621374" cy="11306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b-NO" sz="1200" b="1" u="sng" baseline="0">
                  <a:solidFill>
                    <a:schemeClr val="dk1"/>
                  </a:solidFill>
                  <a:effectLst/>
                  <a:latin typeface="+mn-lt"/>
                  <a:ea typeface="+mn-ea"/>
                  <a:cs typeface="+mn-cs"/>
                </a:rPr>
                <a:t>Presentations:</a:t>
              </a:r>
              <a:endParaRPr lang="nb-NO" sz="1200">
                <a:effectLst/>
              </a:endParaRPr>
            </a:p>
            <a:p>
              <a:pPr algn="l"/>
              <a:r>
                <a:rPr lang="nb-NO" sz="1200" b="0"/>
                <a:t>This spreadsheet</a:t>
              </a:r>
              <a:r>
                <a:rPr lang="nb-NO" sz="1200" b="0" baseline="0"/>
                <a:t> aims at providing help for potential users to evaluate and understand the cost of retrofitting CO</a:t>
              </a:r>
              <a:r>
                <a:rPr lang="nb-NO" sz="1200" b="0" baseline="-25000"/>
                <a:t>2</a:t>
              </a:r>
              <a:r>
                <a:rPr lang="nb-NO" sz="1200" b="0" baseline="0"/>
                <a:t> capture on a refinery.</a:t>
              </a:r>
            </a:p>
            <a:p>
              <a:pPr algn="l"/>
              <a:endParaRPr lang="nb-NO" sz="1200" b="0" baseline="0"/>
            </a:p>
            <a:p>
              <a:pPr algn="l"/>
              <a:r>
                <a:rPr lang="nb-NO" sz="1200" b="0"/>
                <a:t>This spreadsheet</a:t>
              </a:r>
              <a:r>
                <a:rPr lang="nb-NO" sz="1200" b="0" baseline="0"/>
                <a:t> is </a:t>
              </a:r>
              <a:r>
                <a:rPr lang="nb-NO" sz="1200" b="0" baseline="0">
                  <a:solidFill>
                    <a:sysClr val="windowText" lastClr="000000"/>
                  </a:solidFill>
                </a:rPr>
                <a:t>divided into five sheets:</a:t>
              </a:r>
            </a:p>
            <a:p>
              <a:pPr algn="l"/>
              <a:r>
                <a:rPr lang="nb-NO" sz="1200" b="0">
                  <a:solidFill>
                    <a:sysClr val="windowText" lastClr="000000"/>
                  </a:solidFill>
                </a:rPr>
                <a:t>_ Sheet</a:t>
              </a:r>
              <a:r>
                <a:rPr lang="nb-NO" sz="1200" b="0" baseline="0">
                  <a:solidFill>
                    <a:sysClr val="windowText" lastClr="000000"/>
                  </a:solidFill>
                </a:rPr>
                <a:t> "Presentation - instructions": which includes the presentation of the spreadsheet and instructions to perform an evaluation </a:t>
              </a:r>
              <a:endParaRPr lang="nb-NO" sz="1200" b="0">
                <a:solidFill>
                  <a:sysClr val="windowText" lastClr="000000"/>
                </a:solidFill>
              </a:endParaRPr>
            </a:p>
            <a:p>
              <a:pPr algn="l"/>
              <a:r>
                <a:rPr lang="nb-NO" sz="1200" b="0">
                  <a:solidFill>
                    <a:sysClr val="windowText" lastClr="000000"/>
                  </a:solidFill>
                </a:rPr>
                <a:t>_ Sheet "Input data": in which all</a:t>
              </a:r>
              <a:r>
                <a:rPr lang="nb-NO" sz="1200" b="0" baseline="0">
                  <a:solidFill>
                    <a:sysClr val="windowText" lastClr="000000"/>
                  </a:solidFill>
                </a:rPr>
                <a:t> data required (case, technical, cost, and sensitivity analyses) to evaluate the cost of retrofitting CO</a:t>
              </a:r>
              <a:r>
                <a:rPr lang="nb-NO" sz="1200" b="0" baseline="-25000">
                  <a:solidFill>
                    <a:sysClr val="windowText" lastClr="000000"/>
                  </a:solidFill>
                </a:rPr>
                <a:t>2</a:t>
              </a:r>
              <a:r>
                <a:rPr lang="nb-NO" sz="1200" b="0" baseline="0">
                  <a:solidFill>
                    <a:sysClr val="windowText" lastClr="000000"/>
                  </a:solidFill>
                </a:rPr>
                <a:t> capture shall be filled in.</a:t>
              </a:r>
            </a:p>
            <a:p>
              <a:pPr algn="l"/>
              <a:r>
                <a:rPr lang="nb-NO" sz="1200" b="0" baseline="0">
                  <a:solidFill>
                    <a:sysClr val="windowText" lastClr="000000"/>
                  </a:solidFill>
                </a:rPr>
                <a:t>_ Sheet "Discount factor": in which the discount factors (used to evaluate the annualized CAPEX) are assessed for the base case and the sensitivity analyses (when varying project duration, discount rate and utilisation rate)</a:t>
              </a:r>
              <a:endParaRPr lang="nb-NO" sz="1200" b="0">
                <a:solidFill>
                  <a:sysClr val="windowText" lastClr="000000"/>
                </a:solidFill>
              </a:endParaRPr>
            </a:p>
            <a:p>
              <a:pPr algn="l"/>
              <a:r>
                <a:rPr lang="nb-NO" sz="1200" b="0">
                  <a:solidFill>
                    <a:sysClr val="windowText" lastClr="000000"/>
                  </a:solidFill>
                </a:rPr>
                <a:t>_ Sheet</a:t>
              </a:r>
              <a:r>
                <a:rPr lang="nb-NO" sz="1200" b="0" baseline="0">
                  <a:solidFill>
                    <a:sysClr val="windowText" lastClr="000000"/>
                  </a:solidFill>
                </a:rPr>
                <a:t> "Detailed cost results": which includes the detailed cost evaluation results of retrofitting CO</a:t>
              </a:r>
              <a:r>
                <a:rPr lang="nb-NO" sz="1200" b="0" baseline="-25000">
                  <a:solidFill>
                    <a:sysClr val="windowText" lastClr="000000"/>
                  </a:solidFill>
                </a:rPr>
                <a:t>2</a:t>
              </a:r>
              <a:r>
                <a:rPr lang="nb-NO" sz="1200" b="0" baseline="0">
                  <a:solidFill>
                    <a:sysClr val="windowText" lastClr="000000"/>
                  </a:solidFill>
                </a:rPr>
                <a:t> capture (values)</a:t>
              </a:r>
              <a:endParaRPr lang="nb-NO" sz="1200" b="0">
                <a:solidFill>
                  <a:sysClr val="windowText" lastClr="000000"/>
                </a:solidFill>
              </a:endParaRPr>
            </a:p>
            <a:p>
              <a:pPr algn="l"/>
              <a:r>
                <a:rPr lang="nb-NO" sz="1200" b="0">
                  <a:solidFill>
                    <a:sysClr val="windowText" lastClr="000000"/>
                  </a:solidFill>
                  <a:effectLst/>
                  <a:latin typeface="+mn-lt"/>
                  <a:ea typeface="+mn-ea"/>
                  <a:cs typeface="+mn-cs"/>
                </a:rPr>
                <a:t>_</a:t>
              </a:r>
              <a:r>
                <a:rPr lang="nb-NO" sz="1200" b="0" baseline="0">
                  <a:solidFill>
                    <a:sysClr val="windowText" lastClr="000000"/>
                  </a:solidFill>
                  <a:effectLst/>
                  <a:latin typeface="+mn-lt"/>
                  <a:ea typeface="+mn-ea"/>
                  <a:cs typeface="+mn-cs"/>
                </a:rPr>
                <a:t> Sheet "Summarised cost results": which includes the breakdown of the cost of retrofitting CO</a:t>
              </a:r>
              <a:r>
                <a:rPr lang="nb-NO" sz="1200" b="0" baseline="-25000">
                  <a:solidFill>
                    <a:sysClr val="windowText" lastClr="000000"/>
                  </a:solidFill>
                  <a:effectLst/>
                  <a:latin typeface="+mn-lt"/>
                  <a:ea typeface="+mn-ea"/>
                  <a:cs typeface="+mn-cs"/>
                </a:rPr>
                <a:t>2</a:t>
              </a:r>
              <a:r>
                <a:rPr lang="nb-NO" sz="1200" b="0" baseline="0">
                  <a:solidFill>
                    <a:sysClr val="windowText" lastClr="000000"/>
                  </a:solidFill>
                  <a:effectLst/>
                  <a:latin typeface="+mn-lt"/>
                  <a:ea typeface="+mn-ea"/>
                  <a:cs typeface="+mn-cs"/>
                </a:rPr>
                <a:t> capture ($/t</a:t>
              </a:r>
              <a:r>
                <a:rPr lang="nb-NO" sz="1200" b="0" baseline="-25000">
                  <a:solidFill>
                    <a:sysClr val="windowText" lastClr="000000"/>
                  </a:solidFill>
                  <a:effectLst/>
                  <a:latin typeface="+mn-lt"/>
                  <a:ea typeface="+mn-ea"/>
                  <a:cs typeface="+mn-cs"/>
                </a:rPr>
                <a:t>CO2,avoided</a:t>
              </a:r>
              <a:r>
                <a:rPr lang="nb-NO" sz="1200" b="0" baseline="0">
                  <a:solidFill>
                    <a:sysClr val="windowText" lastClr="000000"/>
                  </a:solidFill>
                  <a:effectLst/>
                  <a:latin typeface="+mn-lt"/>
                  <a:ea typeface="+mn-ea"/>
                  <a:cs typeface="+mn-cs"/>
                </a:rPr>
                <a:t>) results - (values and graphical representation)</a:t>
              </a:r>
              <a:endParaRPr lang="nb-NO" sz="1200">
                <a:solidFill>
                  <a:sysClr val="windowText" lastClr="000000"/>
                </a:solidFill>
                <a:effectLst/>
              </a:endParaRPr>
            </a:p>
            <a:p>
              <a:pPr algn="l"/>
              <a:r>
                <a:rPr lang="nb-NO" sz="1200" b="0">
                  <a:solidFill>
                    <a:sysClr val="windowText" lastClr="000000"/>
                  </a:solidFill>
                </a:rPr>
                <a:t>_</a:t>
              </a:r>
              <a:r>
                <a:rPr lang="nb-NO" sz="1200" b="0" baseline="0">
                  <a:solidFill>
                    <a:sysClr val="windowText" lastClr="000000"/>
                  </a:solidFill>
                </a:rPr>
                <a:t> Sheet "Sensitivity analyses": which includes the results of the sensitivity analyses - (values and graphical representation)</a:t>
              </a:r>
            </a:p>
            <a:p>
              <a:pPr algn="l"/>
              <a:endParaRPr lang="nb-NO" sz="1200" b="0" baseline="0">
                <a:solidFill>
                  <a:sysClr val="windowText" lastClr="000000"/>
                </a:solidFill>
              </a:endParaRPr>
            </a:p>
            <a:p>
              <a:pPr algn="l"/>
              <a:endParaRPr lang="nb-NO" sz="1200" b="0" baseline="0">
                <a:solidFill>
                  <a:sysClr val="windowText" lastClr="000000"/>
                </a:solidFill>
              </a:endParaRPr>
            </a:p>
            <a:p>
              <a:pPr algn="l"/>
              <a:r>
                <a:rPr lang="nb-NO" sz="1200" b="1" u="sng" baseline="0">
                  <a:solidFill>
                    <a:sysClr val="windowText" lastClr="000000"/>
                  </a:solidFill>
                </a:rPr>
                <a:t>Instructions:</a:t>
              </a:r>
            </a:p>
            <a:p>
              <a:pPr algn="l"/>
              <a:r>
                <a:rPr lang="nb-NO" sz="1200" b="0" baseline="0">
                  <a:solidFill>
                    <a:sysClr val="windowText" lastClr="000000"/>
                  </a:solidFill>
                </a:rPr>
                <a:t>To evaluate a case with the present spreadsheet, the user needs to fill out, </a:t>
              </a:r>
              <a:r>
                <a:rPr lang="nb-NO" sz="1200" b="0" baseline="0">
                  <a:solidFill>
                    <a:sysClr val="windowText" lastClr="000000"/>
                  </a:solidFill>
                  <a:effectLst/>
                  <a:latin typeface="+mn-lt"/>
                  <a:ea typeface="+mn-ea"/>
                  <a:cs typeface="+mn-cs"/>
                </a:rPr>
                <a:t>with the data corresponding to the case which needs to be evaluated, </a:t>
              </a:r>
              <a:r>
                <a:rPr lang="nb-NO" sz="1200" b="0" baseline="0">
                  <a:solidFill>
                    <a:sysClr val="windowText" lastClr="000000"/>
                  </a:solidFill>
                </a:rPr>
                <a:t>all the orange cells in the sheet "Input data":</a:t>
              </a:r>
            </a:p>
            <a:p>
              <a:pPr lvl="1" algn="l"/>
              <a:r>
                <a:rPr lang="nb-NO" sz="1200" b="0" baseline="0">
                  <a:solidFill>
                    <a:sysClr val="windowText" lastClr="000000"/>
                  </a:solidFill>
                </a:rPr>
                <a:t>1. Project valuation data (discount rate, reference year, number of years of operations, average annual utilisation rate)</a:t>
              </a:r>
            </a:p>
            <a:p>
              <a:pPr lvl="1" algn="l"/>
              <a:r>
                <a:rPr lang="nb-NO" sz="1200" b="0" baseline="0">
                  <a:solidFill>
                    <a:sysClr val="windowText" lastClr="000000"/>
                  </a:solidFill>
                </a:rPr>
                <a:t>2. CO</a:t>
              </a:r>
              <a:r>
                <a:rPr lang="nb-NO" sz="1200" b="0" baseline="-25000">
                  <a:solidFill>
                    <a:sysClr val="windowText" lastClr="000000"/>
                  </a:solidFill>
                </a:rPr>
                <a:t>2</a:t>
              </a:r>
              <a:r>
                <a:rPr lang="nb-NO" sz="1200" b="0" baseline="0">
                  <a:solidFill>
                    <a:sysClr val="windowText" lastClr="000000"/>
                  </a:solidFill>
                </a:rPr>
                <a:t> captured and avoided streams (amount of CO</a:t>
              </a:r>
              <a:r>
                <a:rPr lang="nb-NO" sz="1200" b="0" baseline="-25000">
                  <a:solidFill>
                    <a:sysClr val="windowText" lastClr="000000"/>
                  </a:solidFill>
                </a:rPr>
                <a:t>2</a:t>
              </a:r>
              <a:r>
                <a:rPr lang="nb-NO" sz="1200" b="0" baseline="0">
                  <a:solidFill>
                    <a:sysClr val="windowText" lastClr="000000"/>
                  </a:solidFill>
                </a:rPr>
                <a:t> captured, amount of CO</a:t>
              </a:r>
              <a:r>
                <a:rPr lang="nb-NO" sz="1200" b="0" baseline="-25000">
                  <a:solidFill>
                    <a:sysClr val="windowText" lastClr="000000"/>
                  </a:solidFill>
                </a:rPr>
                <a:t>2</a:t>
              </a:r>
              <a:r>
                <a:rPr lang="nb-NO" sz="1200" b="0" baseline="0">
                  <a:solidFill>
                    <a:sysClr val="windowText" lastClr="000000"/>
                  </a:solidFill>
                </a:rPr>
                <a:t> emitted by the power plant)</a:t>
              </a:r>
            </a:p>
            <a:p>
              <a:pPr lvl="1" algn="l"/>
              <a:r>
                <a:rPr lang="nb-NO" sz="1200" b="0" baseline="0">
                  <a:solidFill>
                    <a:sysClr val="windowText" lastClr="000000"/>
                  </a:solidFill>
                </a:rPr>
                <a:t>3. Data for calculation of CAPEX (</a:t>
              </a:r>
              <a:r>
                <a:rPr lang="nb-NO" sz="1200" b="0" i="0" u="none" strike="noStrike">
                  <a:solidFill>
                    <a:sysClr val="windowText" lastClr="000000"/>
                  </a:solidFill>
                  <a:effectLst/>
                  <a:latin typeface="+mn-lt"/>
                  <a:ea typeface="+mn-ea"/>
                  <a:cs typeface="+mn-cs"/>
                </a:rPr>
                <a:t>costs for each of the cost sections of the system, contingencies, data for evaluation of the Total Capital requirement, planned allocation</a:t>
              </a:r>
              <a:r>
                <a:rPr lang="nb-NO" sz="1200" b="0" i="0" u="none" strike="noStrike" baseline="0">
                  <a:solidFill>
                    <a:sysClr val="windowText" lastClr="000000"/>
                  </a:solidFill>
                  <a:effectLst/>
                  <a:latin typeface="+mn-lt"/>
                  <a:ea typeface="+mn-ea"/>
                  <a:cs typeface="+mn-cs"/>
                </a:rPr>
                <a:t> of construction costs</a:t>
              </a:r>
              <a:r>
                <a:rPr lang="nb-NO" sz="1200" b="0" i="0" u="none" strike="noStrike">
                  <a:solidFill>
                    <a:sysClr val="windowText" lastClr="000000"/>
                  </a:solidFill>
                  <a:effectLst/>
                  <a:latin typeface="+mn-lt"/>
                  <a:ea typeface="+mn-ea"/>
                  <a:cs typeface="+mn-cs"/>
                </a:rPr>
                <a:t>)</a:t>
              </a:r>
            </a:p>
            <a:p>
              <a:pPr lvl="1" algn="l"/>
              <a:r>
                <a:rPr lang="nb-NO" sz="1200" b="0" i="0" u="none" strike="noStrike" baseline="0">
                  <a:solidFill>
                    <a:sysClr val="windowText" lastClr="000000"/>
                  </a:solidFill>
                  <a:effectLst/>
                  <a:latin typeface="+mn-lt"/>
                  <a:ea typeface="+mn-ea"/>
                  <a:cs typeface="+mn-cs"/>
                </a:rPr>
                <a:t>4. Data for calculation of the annual fixed OPEX (number of employees, average fully burdened salary, annual material maintenance percentages, overall maintenance cost percentage, other cost percentages)</a:t>
              </a:r>
            </a:p>
            <a:p>
              <a:pPr lvl="1" algn="l"/>
              <a:r>
                <a:rPr lang="nb-NO" sz="1200" b="0" i="0" u="none" strike="noStrike" baseline="0">
                  <a:solidFill>
                    <a:sysClr val="windowText" lastClr="000000"/>
                  </a:solidFill>
                  <a:effectLst/>
                  <a:latin typeface="+mn-lt"/>
                  <a:ea typeface="+mn-ea"/>
                  <a:cs typeface="+mn-cs"/>
                </a:rPr>
                <a:t>5. Data for calculation of the annual variable OPEX (utilities consumptions and sludge disposal quantities and cost, material replacement and cost, share of natural gas consumption linked to steam production for CO</a:t>
              </a:r>
              <a:r>
                <a:rPr lang="nb-NO" sz="1200" b="0" i="0" u="none" strike="noStrike" baseline="-25000">
                  <a:solidFill>
                    <a:sysClr val="windowText" lastClr="000000"/>
                  </a:solidFill>
                  <a:effectLst/>
                  <a:latin typeface="+mn-lt"/>
                  <a:ea typeface="+mn-ea"/>
                  <a:cs typeface="+mn-cs"/>
                </a:rPr>
                <a:t>2</a:t>
              </a:r>
              <a:r>
                <a:rPr lang="nb-NO" sz="1200" b="0" i="0" u="none" strike="noStrike" baseline="0">
                  <a:solidFill>
                    <a:sysClr val="windowText" lastClr="000000"/>
                  </a:solidFill>
                  <a:effectLst/>
                  <a:latin typeface="+mn-lt"/>
                  <a:ea typeface="+mn-ea"/>
                  <a:cs typeface="+mn-cs"/>
                </a:rPr>
                <a:t> stripping)</a:t>
              </a:r>
            </a:p>
            <a:p>
              <a:pPr lvl="1" algn="l"/>
              <a:r>
                <a:rPr lang="nb-NO" sz="1200" b="0" i="0" u="none" strike="noStrike" baseline="0">
                  <a:solidFill>
                    <a:sysClr val="windowText" lastClr="000000"/>
                  </a:solidFill>
                  <a:effectLst/>
                  <a:latin typeface="+mn-lt"/>
                  <a:ea typeface="+mn-ea"/>
                  <a:cs typeface="+mn-cs"/>
                </a:rPr>
                <a:t>6. Data for valorisation of excess power if relevant (Choice to consider excess power valorisation, amount and economic value of excess power)</a:t>
              </a:r>
            </a:p>
            <a:p>
              <a:pPr lvl="1" algn="l"/>
              <a:r>
                <a:rPr lang="nb-NO" sz="1200" b="0" i="0" u="none" strike="noStrike" baseline="0">
                  <a:solidFill>
                    <a:sysClr val="windowText" lastClr="000000"/>
                  </a:solidFill>
                  <a:effectLst/>
                  <a:latin typeface="+mn-lt"/>
                  <a:ea typeface="+mn-ea"/>
                  <a:cs typeface="+mn-cs"/>
                </a:rPr>
                <a:t>7. Variation ranges considered for sensitivity analyses</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baseline="0">
                  <a:solidFill>
                    <a:sysClr val="windowText" lastClr="000000"/>
                  </a:solidFill>
                  <a:effectLst/>
                  <a:latin typeface="+mn-lt"/>
                  <a:ea typeface="+mn-ea"/>
                  <a:cs typeface="+mn-cs"/>
                </a:rPr>
                <a:t>Remark: It is strongly recommended that the user always checks carefully the </a:t>
              </a:r>
              <a:r>
                <a:rPr lang="nb-NO" sz="1200" b="0" i="0" baseline="0">
                  <a:solidFill>
                    <a:schemeClr val="dk1"/>
                  </a:solidFill>
                  <a:effectLst/>
                  <a:latin typeface="+mn-lt"/>
                  <a:ea typeface="+mn-ea"/>
                  <a:cs typeface="+mn-cs"/>
                </a:rPr>
                <a:t>units used.</a:t>
              </a:r>
              <a:endParaRPr lang="nb-NO" sz="1200">
                <a:effectLst/>
              </a:endParaRPr>
            </a:p>
            <a:p>
              <a:pPr lvl="0" algn="l"/>
              <a:endParaRPr lang="nb-NO" sz="1200" b="0" i="0" u="none" strike="noStrike" baseline="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i="0" u="none" strike="noStrike" baseline="0">
                  <a:solidFill>
                    <a:schemeClr val="dk1"/>
                  </a:solidFill>
                  <a:effectLst/>
                  <a:latin typeface="+mn-lt"/>
                  <a:ea typeface="+mn-ea"/>
                  <a:cs typeface="+mn-cs"/>
                </a:rPr>
                <a:t>The user is free to use their own estimates, however help to evaluate CAPEX through cost functions can be found in the </a:t>
              </a:r>
              <a:r>
                <a:rPr lang="nb-NO" sz="1200" b="0" i="0" u="none" strike="noStrike" baseline="0">
                  <a:solidFill>
                    <a:sysClr val="windowText" lastClr="000000"/>
                  </a:solidFill>
                  <a:effectLst/>
                  <a:latin typeface="+mn-lt"/>
                  <a:ea typeface="+mn-ea"/>
                  <a:cs typeface="+mn-cs"/>
                </a:rPr>
                <a:t>document </a:t>
              </a:r>
              <a:r>
                <a:rPr lang="nb-NO" sz="1200" b="0" i="1" u="none" strike="noStrike" baseline="0">
                  <a:solidFill>
                    <a:sysClr val="windowText" lastClr="000000"/>
                  </a:solidFill>
                  <a:effectLst/>
                  <a:latin typeface="+mn-lt"/>
                  <a:ea typeface="+mn-ea"/>
                  <a:cs typeface="+mn-cs"/>
                </a:rPr>
                <a:t>Cost estimation and economic evaluation of CO</a:t>
              </a:r>
              <a:r>
                <a:rPr lang="nb-NO" sz="1200" b="0" i="1" u="none" strike="noStrike" baseline="-25000">
                  <a:solidFill>
                    <a:sysClr val="windowText" lastClr="000000"/>
                  </a:solidFill>
                  <a:effectLst/>
                  <a:latin typeface="+mn-lt"/>
                  <a:ea typeface="+mn-ea"/>
                  <a:cs typeface="+mn-cs"/>
                </a:rPr>
                <a:t>2</a:t>
              </a:r>
              <a:r>
                <a:rPr lang="nb-NO" sz="1200" b="0" i="1" u="none" strike="noStrike" baseline="0">
                  <a:solidFill>
                    <a:sysClr val="windowText" lastClr="000000"/>
                  </a:solidFill>
                  <a:effectLst/>
                  <a:latin typeface="+mn-lt"/>
                  <a:ea typeface="+mn-ea"/>
                  <a:cs typeface="+mn-cs"/>
                </a:rPr>
                <a:t> capture options for refineries </a:t>
              </a:r>
              <a:r>
                <a:rPr lang="nb-NO" sz="1200" b="0" i="0" u="none" strike="noStrike" baseline="0">
                  <a:solidFill>
                    <a:sysClr val="windowText" lastClr="000000"/>
                  </a:solidFill>
                  <a:effectLst/>
                  <a:latin typeface="+mn-lt"/>
                  <a:ea typeface="+mn-ea"/>
                  <a:cs typeface="+mn-cs"/>
                </a:rPr>
                <a:t>while help to evaluate utilities consumption and material replacement can be found in the document </a:t>
              </a:r>
              <a:r>
                <a:rPr lang="en-GB" sz="1100" i="1">
                  <a:solidFill>
                    <a:sysClr val="windowText" lastClr="000000"/>
                  </a:solidFill>
                  <a:effectLst/>
                  <a:latin typeface="+mn-lt"/>
                  <a:ea typeface="+mn-ea"/>
                  <a:cs typeface="+mn-cs"/>
                </a:rPr>
                <a:t>Performance analysis of CO</a:t>
              </a:r>
              <a:r>
                <a:rPr lang="en-GB" sz="1100" i="1" baseline="-25000">
                  <a:solidFill>
                    <a:sysClr val="windowText" lastClr="000000"/>
                  </a:solidFill>
                  <a:effectLst/>
                  <a:latin typeface="+mn-lt"/>
                  <a:ea typeface="+mn-ea"/>
                  <a:cs typeface="+mn-cs"/>
                </a:rPr>
                <a:t>2</a:t>
              </a:r>
              <a:r>
                <a:rPr lang="en-GB" sz="1100" i="1">
                  <a:solidFill>
                    <a:sysClr val="windowText" lastClr="000000"/>
                  </a:solidFill>
                  <a:effectLst/>
                  <a:latin typeface="+mn-lt"/>
                  <a:ea typeface="+mn-ea"/>
                  <a:cs typeface="+mn-cs"/>
                </a:rPr>
                <a:t> capture options</a:t>
              </a:r>
              <a:r>
                <a:rPr lang="en-GB" sz="1100" i="0">
                  <a:solidFill>
                    <a:sysClr val="windowText" lastClr="000000"/>
                  </a:solidFill>
                  <a:effectLst/>
                  <a:latin typeface="+mn-lt"/>
                  <a:ea typeface="+mn-ea"/>
                  <a:cs typeface="+mn-cs"/>
                </a:rPr>
                <a:t> available at </a:t>
              </a:r>
              <a:r>
                <a:rPr kumimoji="0" lang="nn-NO" sz="1100" b="0" i="0" u="sng" strike="noStrike" kern="0" cap="none" spc="0" normalizeH="0" baseline="0" noProof="0">
                  <a:ln>
                    <a:noFill/>
                  </a:ln>
                  <a:solidFill>
                    <a:prstClr val="black"/>
                  </a:solidFill>
                  <a:effectLst/>
                  <a:uLnTx/>
                  <a:uFillTx/>
                  <a:latin typeface="+mn-lt"/>
                  <a:ea typeface="+mn-ea"/>
                  <a:cs typeface="+mn-cs"/>
                  <a:hlinkClick xmlns:r="http://schemas.openxmlformats.org/officeDocument/2006/relationships" r:id=""/>
                </a:rPr>
                <a:t>http://www.sintef.no/RECAP</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a:t>
              </a:r>
            </a:p>
            <a:p>
              <a:pPr lvl="0" algn="l"/>
              <a:endParaRPr lang="nb-NO" sz="1200" b="0" i="0" u="none" strike="noStrike" baseline="0">
                <a:solidFill>
                  <a:schemeClr val="dk1"/>
                </a:solidFill>
                <a:effectLst/>
                <a:latin typeface="+mn-lt"/>
                <a:ea typeface="+mn-ea"/>
                <a:cs typeface="+mn-cs"/>
              </a:endParaRPr>
            </a:p>
            <a:p>
              <a:pPr algn="l"/>
              <a:r>
                <a:rPr lang="nb-NO" sz="1200" b="0" baseline="0"/>
                <a:t>Once these data are filled out, the results generated (presented above) can directly be found in the three sheets "Detailed cost results", "Summarised cost results", </a:t>
              </a:r>
              <a:r>
                <a:rPr lang="nb-NO" sz="1200" b="0" baseline="0">
                  <a:solidFill>
                    <a:sysClr val="windowText" lastClr="000000"/>
                  </a:solidFill>
                </a:rPr>
                <a:t>and "Sensitivity analyses".</a:t>
              </a:r>
            </a:p>
            <a:p>
              <a:pPr algn="l"/>
              <a:r>
                <a:rPr lang="nb-NO" sz="1200" b="0" baseline="0"/>
                <a:t>To provide support for user based evaluations, the spreadsheets of the </a:t>
              </a:r>
              <a:r>
                <a:rPr lang="nb-NO" sz="1200" b="0" baseline="0">
                  <a:solidFill>
                    <a:sysClr val="windowText" lastClr="000000"/>
                  </a:solidFill>
                </a:rPr>
                <a:t>16 CO</a:t>
              </a:r>
              <a:r>
                <a:rPr lang="nb-NO" sz="1200" b="0" baseline="-25000">
                  <a:solidFill>
                    <a:sysClr val="windowText" lastClr="000000"/>
                  </a:solidFill>
                </a:rPr>
                <a:t>2</a:t>
              </a:r>
              <a:r>
                <a:rPr lang="nb-NO" sz="1200" b="0" baseline="0">
                  <a:solidFill>
                    <a:sysClr val="windowText" lastClr="000000"/>
                  </a:solidFill>
                </a:rPr>
                <a:t> capture cases evaluated in the ReCap project can be found on </a:t>
              </a:r>
              <a:r>
                <a:rPr lang="nn-NO" sz="1100" u="sng">
                  <a:solidFill>
                    <a:schemeClr val="dk1"/>
                  </a:solidFill>
                  <a:effectLst/>
                  <a:latin typeface="+mn-lt"/>
                  <a:ea typeface="+mn-ea"/>
                  <a:cs typeface="+mn-cs"/>
                  <a:hlinkClick xmlns:r="http://schemas.openxmlformats.org/officeDocument/2006/relationships" r:id=""/>
                </a:rPr>
                <a:t>http://www.sintef.no/RECAP</a:t>
              </a:r>
              <a:r>
                <a:rPr lang="nb-NO" sz="1200" b="0" baseline="0">
                  <a:solidFill>
                    <a:sysClr val="windowText" lastClr="000000"/>
                  </a:solidFill>
                </a:rPr>
                <a:t>. </a:t>
              </a:r>
            </a:p>
            <a:p>
              <a:pPr algn="l"/>
              <a:endParaRPr lang="nb-NO" sz="1200" b="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solidFill>
                    <a:sysClr val="windowText" lastClr="000000"/>
                  </a:solidFill>
                </a:rPr>
                <a:t>It is worth noting that the cost of retrofitting CO</a:t>
              </a:r>
              <a:r>
                <a:rPr lang="nb-NO" sz="1200" b="0" baseline="-25000">
                  <a:solidFill>
                    <a:sysClr val="windowText" lastClr="000000"/>
                  </a:solidFill>
                </a:rPr>
                <a:t>2</a:t>
              </a:r>
              <a:r>
                <a:rPr lang="nb-NO" sz="1200" b="0" baseline="0">
                  <a:solidFill>
                    <a:sysClr val="windowText" lastClr="000000"/>
                  </a:solidFill>
                </a:rPr>
                <a:t> capture is calculated based on the additional costs of implementing CO</a:t>
              </a:r>
              <a:r>
                <a:rPr lang="nb-NO" sz="1200" b="0" baseline="-25000">
                  <a:solidFill>
                    <a:sysClr val="windowText" lastClr="000000"/>
                  </a:solidFill>
                </a:rPr>
                <a:t>2</a:t>
              </a:r>
              <a:r>
                <a:rPr lang="nb-NO" sz="1200" b="0" baseline="0">
                  <a:solidFill>
                    <a:sysClr val="windowText" lastClr="000000"/>
                  </a:solidFill>
                </a:rPr>
                <a:t> capture (including utilities generation and interconnecting) using the following equation:</a:t>
              </a:r>
              <a:r>
                <a:rPr lang="en-GB" sz="1100" b="0" i="0">
                  <a:solidFill>
                    <a:schemeClr val="dk1"/>
                  </a:solidFill>
                  <a:effectLst/>
                  <a:latin typeface="Cambria Math" panose="02040503050406030204" pitchFamily="18" charset="0"/>
                  <a:ea typeface="+mn-ea"/>
                  <a:cs typeface="+mn-cs"/>
                </a:rPr>
                <a:t> </a:t>
              </a:r>
              <a:r>
                <a:rPr lang="en-US" sz="1100" b="0" i="0">
                  <a:solidFill>
                    <a:schemeClr val="dk1"/>
                  </a:solidFill>
                  <a:effectLst/>
                  <a:latin typeface="Cambria Math" panose="02040503050406030204" pitchFamily="18" charset="0"/>
                  <a:ea typeface="+mn-ea"/>
                  <a:cs typeface="+mn-cs"/>
                </a:rPr>
                <a:t>"</a:t>
              </a:r>
              <a:r>
                <a:rPr lang="en-US" sz="1100" i="0">
                  <a:solidFill>
                    <a:schemeClr val="dk1"/>
                  </a:solidFill>
                  <a:effectLst/>
                  <a:latin typeface="Cambria Math" panose="02040503050406030204" pitchFamily="18" charset="0"/>
                  <a:ea typeface="+mn-ea"/>
                  <a:cs typeface="+mn-cs"/>
                </a:rPr>
                <a:t>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a:t>
              </a:r>
              <a:r>
                <a:rPr lang="en-US" sz="1100" i="0">
                  <a:solidFill>
                    <a:schemeClr val="dk1"/>
                  </a:solidFill>
                  <a:effectLst/>
                  <a:latin typeface="Cambria Math" panose="02040503050406030204" pitchFamily="18" charset="0"/>
                  <a:ea typeface="+mn-ea"/>
                  <a:cs typeface="+mn-cs"/>
                </a:rPr>
                <a:t>" avoided cost =" </a:t>
              </a:r>
              <a:r>
                <a:rPr lang="en-US" sz="1100" i="0">
                  <a:solidFill>
                    <a:schemeClr val="dk1"/>
                  </a:solidFill>
                  <a:effectLst/>
                  <a:latin typeface="+mn-lt"/>
                  <a:ea typeface="+mn-ea"/>
                  <a:cs typeface="+mn-cs"/>
                </a:rPr>
                <a:t> "Annualized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CAPEX + Annual </a:t>
              </a:r>
              <a:r>
                <a:rPr lang="en-GB" sz="1100" b="0" i="0">
                  <a:solidFill>
                    <a:schemeClr val="dk1"/>
                  </a:solidFill>
                  <a:effectLst/>
                  <a:latin typeface="+mn-lt"/>
                  <a:ea typeface="+mn-ea"/>
                  <a:cs typeface="+mn-cs"/>
                </a:rPr>
                <a:t>CO</a:t>
              </a:r>
              <a:r>
                <a:rPr lang="en-GB" sz="1100" b="0" i="0" baseline="-25000">
                  <a:solidFill>
                    <a:schemeClr val="dk1"/>
                  </a:solidFill>
                  <a:effectLst/>
                  <a:latin typeface="+mn-lt"/>
                  <a:ea typeface="+mn-ea"/>
                  <a:cs typeface="+mn-cs"/>
                </a:rPr>
                <a:t>2</a:t>
              </a:r>
              <a:r>
                <a:rPr lang="en-GB" sz="1100" b="0" i="0">
                  <a:solidFill>
                    <a:schemeClr val="dk1"/>
                  </a:solidFill>
                  <a:effectLst/>
                  <a:latin typeface="+mn-lt"/>
                  <a:ea typeface="+mn-ea"/>
                  <a:cs typeface="+mn-cs"/>
                </a:rPr>
                <a:t> capture</a:t>
              </a:r>
              <a:r>
                <a:rPr lang="en-US" sz="1100" i="0">
                  <a:solidFill>
                    <a:schemeClr val="dk1"/>
                  </a:solidFill>
                  <a:effectLst/>
                  <a:latin typeface="+mn-lt"/>
                  <a:ea typeface="+mn-ea"/>
                  <a:cs typeface="+mn-cs"/>
                </a:rPr>
                <a:t> OPEX</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r>
                <a:rPr lang="en-US" sz="1100" i="0">
                  <a:solidFill>
                    <a:schemeClr val="dk1"/>
                  </a:solidFill>
                  <a:effectLst/>
                  <a:latin typeface="+mn-lt"/>
                  <a:ea typeface="+mn-ea"/>
                  <a:cs typeface="+mn-cs"/>
                </a:rPr>
                <a:t>"Annual amount of C</a:t>
              </a:r>
              <a:r>
                <a:rPr lang="nb-NO"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"O</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_</a:t>
              </a:r>
              <a:r>
                <a:rPr lang="en-US" sz="1100" i="0">
                  <a:solidFill>
                    <a:schemeClr val="dk1"/>
                  </a:solidFill>
                  <a:effectLst/>
                  <a:latin typeface="+mn-lt"/>
                  <a:ea typeface="+mn-ea"/>
                  <a:cs typeface="+mn-cs"/>
                </a:rPr>
                <a:t>"2</a:t>
              </a:r>
              <a:r>
                <a:rPr lang="en-US" sz="1100" i="0">
                  <a:solidFill>
                    <a:schemeClr val="dk1"/>
                  </a:solidFill>
                  <a:effectLst/>
                  <a:latin typeface="Cambria Math" panose="02040503050406030204" pitchFamily="18" charset="0"/>
                  <a:ea typeface="+mn-ea"/>
                  <a:cs typeface="+mn-cs"/>
                </a:rPr>
                <a:t>" </a:t>
              </a:r>
              <a:r>
                <a:rPr lang="en-US" sz="1100" i="0">
                  <a:solidFill>
                    <a:schemeClr val="dk1"/>
                  </a:solidFill>
                  <a:effectLst/>
                  <a:latin typeface="+mn-lt"/>
                  <a:ea typeface="+mn-ea"/>
                  <a:cs typeface="+mn-cs"/>
                </a:rPr>
                <a:t> " avoided</a:t>
              </a:r>
              <a:r>
                <a:rPr lang="en-US" sz="1100" i="0">
                  <a:solidFill>
                    <a:schemeClr val="dk1"/>
                  </a:solidFill>
                  <a:effectLst/>
                  <a:latin typeface="Cambria Math" panose="02040503050406030204" pitchFamily="18" charset="0"/>
                  <a:ea typeface="+mn-ea"/>
                  <a:cs typeface="+mn-cs"/>
                </a:rPr>
                <a:t>" </a:t>
              </a:r>
              <a:r>
                <a:rPr lang="nb-NO" sz="1100" i="0">
                  <a:solidFill>
                    <a:schemeClr val="dk1"/>
                  </a:solidFill>
                  <a:effectLst/>
                  <a:latin typeface="Cambria Math" panose="02040503050406030204" pitchFamily="18" charset="0"/>
                  <a:ea typeface="+mn-ea"/>
                  <a:cs typeface="+mn-cs"/>
                </a:rPr>
                <a:t>)</a:t>
              </a:r>
              <a:endParaRPr lang="nb-NO" sz="1100">
                <a:solidFill>
                  <a:schemeClr val="dk1"/>
                </a:solidFill>
                <a:effectLst/>
                <a:latin typeface="+mn-lt"/>
                <a:ea typeface="+mn-ea"/>
                <a:cs typeface="+mn-cs"/>
              </a:endParaRPr>
            </a:p>
            <a:p>
              <a:pPr algn="l"/>
              <a:endParaRPr lang="nb-NO" sz="1200" b="0" baseline="0">
                <a:solidFill>
                  <a:sysClr val="windowText" lastClr="000000"/>
                </a:solidFill>
              </a:endParaRPr>
            </a:p>
            <a:p>
              <a:pPr algn="l"/>
              <a:r>
                <a:rPr lang="nb-NO" sz="1200" b="0" baseline="0">
                  <a:solidFill>
                    <a:sysClr val="windowText" lastClr="000000"/>
                  </a:solidFill>
                </a:rPr>
                <a:t>Finally, note that, apart from the cells marked in orange, all the cells of the spreadsheet </a:t>
              </a:r>
              <a:r>
                <a:rPr lang="nb-NO" sz="1200" b="0" baseline="0"/>
                <a:t>are locked for editing and may not be modified.</a:t>
              </a:r>
            </a:p>
            <a:p>
              <a:pPr algn="l"/>
              <a:endParaRPr lang="nb-NO" sz="1200" b="0" baseline="0"/>
            </a:p>
            <a:p>
              <a:pPr algn="l"/>
              <a:endParaRPr lang="nb-NO" sz="1200" b="0" baseline="0"/>
            </a:p>
            <a:p>
              <a:pPr algn="l"/>
              <a:r>
                <a:rPr lang="nb-NO" sz="1200" b="1" u="sng" baseline="0"/>
                <a:t>Contact:</a:t>
              </a:r>
            </a:p>
            <a:p>
              <a:pPr marL="0" marR="0" lvl="0" indent="0" algn="l" defTabSz="914400" eaLnBrk="1" fontAlgn="auto" latinLnBrk="0" hangingPunct="1">
                <a:lnSpc>
                  <a:spcPct val="100000"/>
                </a:lnSpc>
                <a:spcBef>
                  <a:spcPts val="0"/>
                </a:spcBef>
                <a:spcAft>
                  <a:spcPts val="0"/>
                </a:spcAft>
                <a:buClrTx/>
                <a:buSzTx/>
                <a:buFontTx/>
                <a:buNone/>
                <a:tabLst/>
                <a:defRPr/>
              </a:pPr>
              <a:r>
                <a:rPr lang="nb-NO" sz="1200" b="0" baseline="0"/>
                <a:t>For further question(s) on this spreadsheet, please </a:t>
              </a:r>
              <a:r>
                <a:rPr lang="nb-NO" sz="1200" b="0" baseline="0">
                  <a:solidFill>
                    <a:sysClr val="windowText" lastClr="000000"/>
                  </a:solidFill>
                </a:rPr>
                <a:t>contact Simon Roussanaly at SINTEF Energy Research at simon.roussanaly@sintef.no with the following e-mail subject "</a:t>
              </a:r>
              <a:r>
                <a:rPr lang="nb-NO" sz="1200" b="1">
                  <a:solidFill>
                    <a:sysClr val="windowText" lastClr="000000"/>
                  </a:solidFill>
                  <a:effectLst/>
                  <a:latin typeface="+mn-lt"/>
                  <a:ea typeface="+mn-ea"/>
                  <a:cs typeface="+mn-cs"/>
                </a:rPr>
                <a:t>Spreadsheet for </a:t>
              </a:r>
              <a:r>
                <a:rPr lang="nb-NO" sz="1200" b="1">
                  <a:solidFill>
                    <a:schemeClr val="dk1"/>
                  </a:solidFill>
                  <a:effectLst/>
                  <a:latin typeface="+mn-lt"/>
                  <a:ea typeface="+mn-ea"/>
                  <a:cs typeface="+mn-cs"/>
                </a:rPr>
                <a:t>evaluation of cost of retrofitting CO</a:t>
              </a:r>
              <a:r>
                <a:rPr lang="nb-NO" sz="1200" b="1" baseline="-25000">
                  <a:solidFill>
                    <a:schemeClr val="dk1"/>
                  </a:solidFill>
                  <a:effectLst/>
                  <a:latin typeface="+mn-lt"/>
                  <a:ea typeface="+mn-ea"/>
                  <a:cs typeface="+mn-cs"/>
                </a:rPr>
                <a:t>2</a:t>
              </a:r>
              <a:r>
                <a:rPr lang="nb-NO" sz="1200" b="1">
                  <a:solidFill>
                    <a:schemeClr val="dk1"/>
                  </a:solidFill>
                  <a:effectLst/>
                  <a:latin typeface="+mn-lt"/>
                  <a:ea typeface="+mn-ea"/>
                  <a:cs typeface="+mn-cs"/>
                </a:rPr>
                <a:t> capture from refineries</a:t>
              </a:r>
              <a:r>
                <a:rPr lang="nb-NO" sz="1200" b="0">
                  <a:solidFill>
                    <a:schemeClr val="dk1"/>
                  </a:solidFill>
                  <a:effectLst/>
                  <a:latin typeface="+mn-lt"/>
                  <a:ea typeface="+mn-ea"/>
                  <a:cs typeface="+mn-cs"/>
                </a:rPr>
                <a:t>".</a:t>
              </a:r>
              <a:endParaRPr lang="nb-NO" sz="1200" b="0">
                <a:effectLst/>
              </a:endParaRPr>
            </a:p>
            <a:p>
              <a:pPr algn="l"/>
              <a:endParaRPr lang="nb-NO" sz="1200" b="0" baseline="0"/>
            </a:p>
            <a:p>
              <a:pPr algn="l"/>
              <a:endParaRPr lang="nb-NO" sz="1200" b="0" baseline="0"/>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Acknowledgement: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This Spreadsheet was developed by SINTEF Energy Research in the ReCap project with funding from Gassnova (contract </a:t>
              </a:r>
              <a:r>
                <a:rPr lang="nb-NO" sz="1100">
                  <a:solidFill>
                    <a:sysClr val="windowText" lastClr="000000"/>
                  </a:solidFill>
                  <a:effectLst/>
                  <a:latin typeface="+mn-lt"/>
                  <a:ea typeface="+mn-ea"/>
                  <a:cs typeface="+mn-cs"/>
                </a:rPr>
                <a:t>232308</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IEAGHG and Concawe.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nb-NO" sz="12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1" i="0" u="sng" strike="noStrike" kern="0" cap="none" spc="0" normalizeH="0" baseline="0" noProof="0">
                  <a:ln>
                    <a:noFill/>
                  </a:ln>
                  <a:solidFill>
                    <a:sysClr val="windowText" lastClr="000000"/>
                  </a:solidFill>
                  <a:effectLst/>
                  <a:uLnTx/>
                  <a:uFillTx/>
                  <a:latin typeface="+mn-lt"/>
                  <a:ea typeface="+mn-ea"/>
                  <a:cs typeface="+mn-cs"/>
                </a:rPr>
                <a:t>Disclaimer:</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SINTEF Energy Research has developed this spreadsheet for calculations of the costs presented in the report "Understanding the cost of retrofitting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to integrated oil refineries"</a:t>
              </a:r>
            </a:p>
            <a:p>
              <a:pPr marL="0" marR="0" lvl="0" indent="0" algn="l" defTabSz="914400" eaLnBrk="1" fontAlgn="auto" latinLnBrk="0" hangingPunct="1">
                <a:lnSpc>
                  <a:spcPct val="100000"/>
                </a:lnSpc>
                <a:spcBef>
                  <a:spcPts val="0"/>
                </a:spcBef>
                <a:spcAft>
                  <a:spcPts val="0"/>
                </a:spcAft>
                <a:buClrTx/>
                <a:buSzTx/>
                <a:buFontTx/>
                <a:buNone/>
                <a:tabLst/>
                <a:defRPr/>
              </a:pPr>
              <a:r>
                <a:rPr kumimoji="0" lang="nb-NO" sz="1200" b="0" i="0" u="none" strike="noStrike" kern="0" cap="none" spc="0" normalizeH="0" baseline="0" noProof="0">
                  <a:ln>
                    <a:noFill/>
                  </a:ln>
                  <a:solidFill>
                    <a:sysClr val="windowText" lastClr="000000"/>
                  </a:solidFill>
                  <a:effectLst/>
                  <a:uLnTx/>
                  <a:uFillTx/>
                  <a:latin typeface="+mn-lt"/>
                  <a:ea typeface="+mn-ea"/>
                  <a:cs typeface="+mn-cs"/>
                </a:rPr>
                <a:t>The spreadsheet is provided as is for enabling user-specific assessments of CO</a:t>
              </a:r>
              <a:r>
                <a:rPr kumimoji="0" lang="nb-NO" sz="1200" b="0" i="0" u="none" strike="noStrike" kern="0" cap="none" spc="0" normalizeH="0" baseline="-25000" noProof="0">
                  <a:ln>
                    <a:noFill/>
                  </a:ln>
                  <a:solidFill>
                    <a:sysClr val="windowText" lastClr="000000"/>
                  </a:solidFill>
                  <a:effectLst/>
                  <a:uLnTx/>
                  <a:uFillTx/>
                  <a:latin typeface="+mn-lt"/>
                  <a:ea typeface="+mn-ea"/>
                  <a:cs typeface="+mn-cs"/>
                </a:rPr>
                <a:t>2</a:t>
              </a:r>
              <a:r>
                <a:rPr kumimoji="0" lang="nb-NO" sz="1200" b="0" i="0" u="none" strike="noStrike" kern="0" cap="none" spc="0" normalizeH="0" baseline="0" noProof="0">
                  <a:ln>
                    <a:noFill/>
                  </a:ln>
                  <a:solidFill>
                    <a:sysClr val="windowText" lastClr="000000"/>
                  </a:solidFill>
                  <a:effectLst/>
                  <a:uLnTx/>
                  <a:uFillTx/>
                  <a:latin typeface="+mn-lt"/>
                  <a:ea typeface="+mn-ea"/>
                  <a:cs typeface="+mn-cs"/>
                </a:rPr>
                <a:t> capture retrofit to integrated oil refineries. SINTEF assumes no responsibility for the results generated with this spreadsheet.</a:t>
              </a:r>
            </a:p>
          </xdr:txBody>
        </xdr:sp>
      </mc:Fallback>
    </mc:AlternateContent>
    <xdr:clientData/>
  </xdr:twoCellAnchor>
  <xdr:oneCellAnchor>
    <xdr:from>
      <xdr:col>0</xdr:col>
      <xdr:colOff>361951</xdr:colOff>
      <xdr:row>1</xdr:row>
      <xdr:rowOff>140970</xdr:rowOff>
    </xdr:from>
    <xdr:ext cx="3095624" cy="644955"/>
    <xdr:pic>
      <xdr:nvPicPr>
        <xdr:cNvPr id="7" name="il_fi" descr="http://supplier.windcluster.no/assets/images/logos/sintef.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1" y="331470"/>
          <a:ext cx="3095624" cy="64495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365760</xdr:colOff>
      <xdr:row>5</xdr:row>
      <xdr:rowOff>57150</xdr:rowOff>
    </xdr:from>
    <xdr:to>
      <xdr:col>5</xdr:col>
      <xdr:colOff>411480</xdr:colOff>
      <xdr:row>6</xdr:row>
      <xdr:rowOff>163830</xdr:rowOff>
    </xdr:to>
    <xdr:sp macro="" textlink="">
      <xdr:nvSpPr>
        <xdr:cNvPr id="8" name="TextBox 7">
          <a:hlinkClick xmlns:r="http://schemas.openxmlformats.org/officeDocument/2006/relationships" r:id="rId2"/>
        </xdr:cNvPr>
        <xdr:cNvSpPr txBox="1"/>
      </xdr:nvSpPr>
      <xdr:spPr>
        <a:xfrm>
          <a:off x="365760" y="1009650"/>
          <a:ext cx="2998470" cy="297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b="0">
              <a:solidFill>
                <a:srgbClr val="002060"/>
              </a:solidFill>
            </a:rPr>
            <a:t>http://www.sintef.no/home/SINTEF-Energy-Research/</a:t>
          </a:r>
        </a:p>
        <a:p>
          <a:pPr algn="l"/>
          <a:endParaRPr lang="nb-NO" sz="1000" b="0"/>
        </a:p>
      </xdr:txBody>
    </xdr:sp>
    <xdr:clientData/>
  </xdr:twoCellAnchor>
  <xdr:twoCellAnchor editAs="oneCell">
    <xdr:from>
      <xdr:col>27</xdr:col>
      <xdr:colOff>171450</xdr:colOff>
      <xdr:row>1</xdr:row>
      <xdr:rowOff>114300</xdr:rowOff>
    </xdr:from>
    <xdr:to>
      <xdr:col>29</xdr:col>
      <xdr:colOff>385406</xdr:colOff>
      <xdr:row>6</xdr:row>
      <xdr:rowOff>183338</xdr:rowOff>
    </xdr:to>
    <xdr:pic>
      <xdr:nvPicPr>
        <xdr:cNvPr id="9" name="Picture 8"/>
        <xdr:cNvPicPr>
          <a:picLocks noChangeAspect="1"/>
        </xdr:cNvPicPr>
      </xdr:nvPicPr>
      <xdr:blipFill>
        <a:blip xmlns:r="http://schemas.openxmlformats.org/officeDocument/2006/relationships" r:embed="rId3"/>
        <a:stretch>
          <a:fillRect/>
        </a:stretch>
      </xdr:blipFill>
      <xdr:spPr>
        <a:xfrm>
          <a:off x="16116300" y="304800"/>
          <a:ext cx="1395056" cy="1021538"/>
        </a:xfrm>
        <a:prstGeom prst="rect">
          <a:avLst/>
        </a:prstGeom>
      </xdr:spPr>
    </xdr:pic>
    <xdr:clientData/>
  </xdr:twoCellAnchor>
  <xdr:twoCellAnchor editAs="oneCell">
    <xdr:from>
      <xdr:col>26</xdr:col>
      <xdr:colOff>285750</xdr:colOff>
      <xdr:row>1</xdr:row>
      <xdr:rowOff>114300</xdr:rowOff>
    </xdr:from>
    <xdr:to>
      <xdr:col>29</xdr:col>
      <xdr:colOff>378267</xdr:colOff>
      <xdr:row>6</xdr:row>
      <xdr:rowOff>177383</xdr:rowOff>
    </xdr:to>
    <xdr:pic>
      <xdr:nvPicPr>
        <xdr:cNvPr id="10" name="Picture 9"/>
        <xdr:cNvPicPr>
          <a:picLocks noChangeAspect="1"/>
        </xdr:cNvPicPr>
      </xdr:nvPicPr>
      <xdr:blipFill>
        <a:blip xmlns:r="http://schemas.openxmlformats.org/officeDocument/2006/relationships" r:embed="rId4"/>
        <a:stretch>
          <a:fillRect/>
        </a:stretch>
      </xdr:blipFill>
      <xdr:spPr>
        <a:xfrm>
          <a:off x="15640050" y="304800"/>
          <a:ext cx="1864167" cy="1015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19269</xdr:colOff>
      <xdr:row>1</xdr:row>
      <xdr:rowOff>447057</xdr:rowOff>
    </xdr:from>
    <xdr:to>
      <xdr:col>17</xdr:col>
      <xdr:colOff>346361</xdr:colOff>
      <xdr:row>16</xdr:row>
      <xdr:rowOff>178625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2550</xdr:colOff>
      <xdr:row>1</xdr:row>
      <xdr:rowOff>457076</xdr:rowOff>
    </xdr:from>
    <xdr:to>
      <xdr:col>10</xdr:col>
      <xdr:colOff>259774</xdr:colOff>
      <xdr:row>16</xdr:row>
      <xdr:rowOff>188644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9458325" y="276225"/>
    <xdr:ext cx="7305675" cy="438150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sheetPr>
  <dimension ref="E11"/>
  <sheetViews>
    <sheetView tabSelected="1" workbookViewId="0">
      <selection activeCell="A5" sqref="A5"/>
    </sheetView>
  </sheetViews>
  <sheetFormatPr defaultColWidth="8.85546875" defaultRowHeight="15" x14ac:dyDescent="0.25"/>
  <sheetData>
    <row r="11" spans="5:5" x14ac:dyDescent="0.25">
      <c r="E11" s="113"/>
    </row>
  </sheetData>
  <sheetProtection algorithmName="SHA-512" hashValue="z9L+Hn/0FhDpxZiZV9xfKWuthd2qiJIj0dN+u+DGF1g0nRra4ISSpaR/YVVYjcf+SUzOHiZT9vBuF7NBfZf/ig==" saltValue="OoripkU1uMtNzYzVjANlB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O124"/>
  <sheetViews>
    <sheetView zoomScaleNormal="100" workbookViewId="0">
      <selection activeCell="I100" sqref="I100"/>
    </sheetView>
  </sheetViews>
  <sheetFormatPr defaultRowHeight="15" x14ac:dyDescent="0.25"/>
  <cols>
    <col min="2" max="2" width="9.85546875" customWidth="1"/>
    <col min="4" max="4" width="9.5703125" customWidth="1"/>
    <col min="5" max="5" width="9.7109375" customWidth="1"/>
    <col min="6" max="6" width="13.42578125" customWidth="1"/>
    <col min="7" max="7" width="12.42578125" customWidth="1"/>
    <col min="10" max="10" width="10.5703125" customWidth="1"/>
    <col min="11" max="11" width="7.28515625" customWidth="1"/>
    <col min="12" max="12" width="7.7109375" customWidth="1"/>
    <col min="15" max="15" width="0" hidden="1" customWidth="1"/>
  </cols>
  <sheetData>
    <row r="3" spans="1:8" ht="15.75" x14ac:dyDescent="0.25">
      <c r="A3" s="101" t="s">
        <v>129</v>
      </c>
    </row>
    <row r="4" spans="1:8" x14ac:dyDescent="0.25">
      <c r="A4" s="2"/>
    </row>
    <row r="5" spans="1:8" x14ac:dyDescent="0.25">
      <c r="B5" s="165" t="s">
        <v>155</v>
      </c>
      <c r="C5" s="165"/>
      <c r="D5" s="165"/>
      <c r="E5" s="123">
        <v>8</v>
      </c>
      <c r="F5" s="102" t="s">
        <v>28</v>
      </c>
    </row>
    <row r="6" spans="1:8" x14ac:dyDescent="0.25">
      <c r="B6" s="165" t="s">
        <v>27</v>
      </c>
      <c r="C6" s="165"/>
      <c r="D6" s="165"/>
      <c r="E6" s="123">
        <v>4</v>
      </c>
      <c r="F6" s="102" t="s">
        <v>29</v>
      </c>
    </row>
    <row r="7" spans="1:8" x14ac:dyDescent="0.25">
      <c r="B7" s="165" t="s">
        <v>25</v>
      </c>
      <c r="C7" s="165"/>
      <c r="D7" s="165"/>
      <c r="E7" s="123">
        <v>25</v>
      </c>
      <c r="F7" s="102" t="s">
        <v>115</v>
      </c>
    </row>
    <row r="8" spans="1:8" ht="12.75" customHeight="1" x14ac:dyDescent="0.25">
      <c r="B8" s="165" t="s">
        <v>30</v>
      </c>
      <c r="C8" s="165"/>
      <c r="D8" s="165"/>
      <c r="E8" s="72">
        <f>'Discount factors'!D59</f>
        <v>11.528758283675661</v>
      </c>
      <c r="F8" s="102" t="s">
        <v>29</v>
      </c>
      <c r="G8" t="s">
        <v>165</v>
      </c>
    </row>
    <row r="9" spans="1:8" x14ac:dyDescent="0.25">
      <c r="B9" s="165" t="s">
        <v>161</v>
      </c>
      <c r="C9" s="165"/>
      <c r="D9" s="165"/>
      <c r="E9" s="109">
        <f>1/E8</f>
        <v>8.6739610233303857E-2</v>
      </c>
      <c r="F9" s="102" t="s">
        <v>104</v>
      </c>
    </row>
    <row r="10" spans="1:8" x14ac:dyDescent="0.25">
      <c r="B10" s="103"/>
      <c r="C10" s="103"/>
      <c r="D10" s="103"/>
      <c r="E10" s="104"/>
      <c r="F10" s="104"/>
    </row>
    <row r="11" spans="1:8" x14ac:dyDescent="0.25">
      <c r="B11" s="105" t="s">
        <v>103</v>
      </c>
      <c r="C11" s="105"/>
      <c r="D11" s="105"/>
      <c r="E11" s="124">
        <f>350*24/8760*100</f>
        <v>95.890410958904098</v>
      </c>
      <c r="F11" s="102" t="s">
        <v>28</v>
      </c>
    </row>
    <row r="12" spans="1:8" x14ac:dyDescent="0.25">
      <c r="A12" s="2"/>
      <c r="B12" s="105" t="s">
        <v>96</v>
      </c>
      <c r="C12" s="105"/>
      <c r="D12" s="105"/>
      <c r="E12" s="81">
        <f>8760*E11/100</f>
        <v>8399.9999999999982</v>
      </c>
      <c r="F12" s="102" t="s">
        <v>99</v>
      </c>
    </row>
    <row r="13" spans="1:8" x14ac:dyDescent="0.25">
      <c r="A13" s="2"/>
    </row>
    <row r="14" spans="1:8" ht="18" x14ac:dyDescent="0.35">
      <c r="A14" s="2" t="s">
        <v>100</v>
      </c>
    </row>
    <row r="16" spans="1:8" ht="18" x14ac:dyDescent="0.35">
      <c r="B16" s="141" t="s">
        <v>119</v>
      </c>
      <c r="C16" s="147"/>
      <c r="D16" s="147"/>
      <c r="E16" s="147"/>
      <c r="F16" s="125">
        <v>37.593392940046108</v>
      </c>
      <c r="G16" s="5" t="s">
        <v>97</v>
      </c>
      <c r="H16" t="s">
        <v>162</v>
      </c>
    </row>
    <row r="17" spans="1:12" ht="18" x14ac:dyDescent="0.35">
      <c r="B17" s="141" t="s">
        <v>98</v>
      </c>
      <c r="C17" s="147"/>
      <c r="D17" s="147"/>
      <c r="E17" s="147"/>
      <c r="F17" s="125">
        <v>12.687316246182958</v>
      </c>
      <c r="G17" s="5" t="s">
        <v>97</v>
      </c>
    </row>
    <row r="18" spans="1:12" x14ac:dyDescent="0.25">
      <c r="B18" s="46"/>
      <c r="C18" s="46"/>
      <c r="G18" s="60"/>
    </row>
    <row r="19" spans="1:12" ht="18" x14ac:dyDescent="0.35">
      <c r="B19" s="141" t="s">
        <v>93</v>
      </c>
      <c r="C19" s="166"/>
      <c r="D19" s="147"/>
      <c r="E19" s="147"/>
      <c r="F19" s="43">
        <f>F16*'Input data'!E12/1000</f>
        <v>315.78450069638728</v>
      </c>
      <c r="G19" s="5" t="s">
        <v>95</v>
      </c>
    </row>
    <row r="20" spans="1:12" ht="18" x14ac:dyDescent="0.35">
      <c r="B20" s="163" t="s">
        <v>94</v>
      </c>
      <c r="C20" s="166"/>
      <c r="D20" s="147"/>
      <c r="E20" s="147"/>
      <c r="F20" s="43">
        <f>(F16-F17)*'Input data'!E12/1000</f>
        <v>209.21104422845039</v>
      </c>
      <c r="G20" s="5" t="s">
        <v>95</v>
      </c>
    </row>
    <row r="21" spans="1:12" x14ac:dyDescent="0.25">
      <c r="A21" s="2"/>
    </row>
    <row r="22" spans="1:12" ht="15.75" x14ac:dyDescent="0.25">
      <c r="A22" s="101" t="s">
        <v>77</v>
      </c>
    </row>
    <row r="23" spans="1:12" x14ac:dyDescent="0.25">
      <c r="A23" s="2"/>
    </row>
    <row r="24" spans="1:12" x14ac:dyDescent="0.25">
      <c r="A24" s="2"/>
      <c r="B24" s="2" t="s">
        <v>131</v>
      </c>
    </row>
    <row r="25" spans="1:12" ht="15" customHeight="1" x14ac:dyDescent="0.35">
      <c r="A25" s="2"/>
      <c r="D25" s="154" t="s">
        <v>135</v>
      </c>
      <c r="E25" s="155"/>
      <c r="F25" s="155"/>
      <c r="G25" s="156"/>
      <c r="H25" s="154" t="s">
        <v>38</v>
      </c>
      <c r="I25" s="155"/>
      <c r="J25" s="156"/>
      <c r="K25" s="157" t="s">
        <v>12</v>
      </c>
      <c r="L25" s="158"/>
    </row>
    <row r="26" spans="1:12" ht="42" customHeight="1" x14ac:dyDescent="0.25">
      <c r="A26" s="2"/>
      <c r="B26" s="6"/>
      <c r="D26" s="106" t="s">
        <v>13</v>
      </c>
      <c r="E26" s="107" t="s">
        <v>7</v>
      </c>
      <c r="F26" s="107" t="s">
        <v>8</v>
      </c>
      <c r="G26" s="108" t="s">
        <v>134</v>
      </c>
      <c r="H26" s="106" t="s">
        <v>9</v>
      </c>
      <c r="I26" s="107" t="s">
        <v>10</v>
      </c>
      <c r="J26" s="108" t="s">
        <v>11</v>
      </c>
      <c r="K26" s="159"/>
      <c r="L26" s="160"/>
    </row>
    <row r="27" spans="1:12" x14ac:dyDescent="0.25">
      <c r="A27" s="2"/>
      <c r="B27" s="9" t="s">
        <v>0</v>
      </c>
      <c r="C27" s="80"/>
      <c r="D27" s="137"/>
      <c r="E27" s="126">
        <v>17500</v>
      </c>
      <c r="F27" s="126">
        <v>7500</v>
      </c>
      <c r="G27" s="127">
        <v>4420</v>
      </c>
      <c r="H27" s="137">
        <v>17620</v>
      </c>
      <c r="I27" s="126">
        <v>2220</v>
      </c>
      <c r="J27" s="127">
        <v>820</v>
      </c>
      <c r="K27" s="148">
        <v>15500</v>
      </c>
      <c r="L27" s="149"/>
    </row>
    <row r="28" spans="1:12" x14ac:dyDescent="0.25">
      <c r="A28" s="2"/>
      <c r="B28" s="9" t="s">
        <v>1</v>
      </c>
      <c r="C28" s="80"/>
      <c r="D28" s="137"/>
      <c r="E28" s="126">
        <v>10300</v>
      </c>
      <c r="F28" s="126">
        <v>4400</v>
      </c>
      <c r="G28" s="127">
        <v>3000</v>
      </c>
      <c r="H28" s="137">
        <v>10000</v>
      </c>
      <c r="I28" s="126">
        <v>1600</v>
      </c>
      <c r="J28" s="127">
        <v>500</v>
      </c>
      <c r="K28" s="148">
        <v>19600</v>
      </c>
      <c r="L28" s="149"/>
    </row>
    <row r="29" spans="1:12" x14ac:dyDescent="0.25">
      <c r="A29" s="2"/>
      <c r="B29" s="9" t="s">
        <v>3</v>
      </c>
      <c r="C29" s="80"/>
      <c r="D29" s="137"/>
      <c r="E29" s="126">
        <v>1600</v>
      </c>
      <c r="F29" s="126">
        <v>700</v>
      </c>
      <c r="G29" s="127">
        <v>500</v>
      </c>
      <c r="H29" s="137">
        <v>1500</v>
      </c>
      <c r="I29" s="126">
        <v>200</v>
      </c>
      <c r="J29" s="127">
        <v>100</v>
      </c>
      <c r="K29" s="148">
        <v>1000</v>
      </c>
      <c r="L29" s="149"/>
    </row>
    <row r="30" spans="1:12" x14ac:dyDescent="0.25">
      <c r="A30" s="2"/>
      <c r="B30" s="9" t="s">
        <v>4</v>
      </c>
      <c r="C30" s="80"/>
      <c r="D30" s="138"/>
      <c r="E30" s="128">
        <v>5600</v>
      </c>
      <c r="F30" s="128">
        <v>2400</v>
      </c>
      <c r="G30" s="129">
        <v>1500</v>
      </c>
      <c r="H30" s="138">
        <v>5500</v>
      </c>
      <c r="I30" s="128">
        <v>800</v>
      </c>
      <c r="J30" s="129">
        <v>300</v>
      </c>
      <c r="K30" s="150">
        <v>7000</v>
      </c>
      <c r="L30" s="151"/>
    </row>
    <row r="31" spans="1:12" x14ac:dyDescent="0.25">
      <c r="A31" s="2"/>
      <c r="D31" t="s">
        <v>166</v>
      </c>
    </row>
    <row r="32" spans="1:12" x14ac:dyDescent="0.25">
      <c r="A32" s="2"/>
    </row>
    <row r="33" spans="2:11" x14ac:dyDescent="0.25">
      <c r="B33" s="2" t="s">
        <v>32</v>
      </c>
    </row>
    <row r="34" spans="2:11" x14ac:dyDescent="0.25">
      <c r="B34" s="168" t="s">
        <v>32</v>
      </c>
      <c r="C34" s="168"/>
      <c r="D34" s="168"/>
      <c r="E34" s="130">
        <v>15</v>
      </c>
      <c r="F34" s="5" t="s">
        <v>105</v>
      </c>
    </row>
    <row r="36" spans="2:11" x14ac:dyDescent="0.25">
      <c r="B36" s="2" t="s">
        <v>132</v>
      </c>
    </row>
    <row r="37" spans="2:11" x14ac:dyDescent="0.25">
      <c r="B37" s="4" t="s">
        <v>56</v>
      </c>
      <c r="C37" s="4"/>
      <c r="D37" s="4"/>
      <c r="E37" s="4"/>
      <c r="F37" s="4"/>
      <c r="G37" s="4"/>
      <c r="H37" s="130">
        <v>0.5</v>
      </c>
      <c r="I37" s="80" t="s">
        <v>46</v>
      </c>
      <c r="J37" s="4"/>
      <c r="K37" s="4"/>
    </row>
    <row r="38" spans="2:11" x14ac:dyDescent="0.25">
      <c r="B38" s="4" t="s">
        <v>49</v>
      </c>
      <c r="C38" s="4"/>
      <c r="D38" s="4"/>
      <c r="E38" s="4"/>
      <c r="F38" s="4"/>
      <c r="G38" s="4"/>
      <c r="H38" s="130">
        <v>3</v>
      </c>
      <c r="I38" s="80" t="s">
        <v>50</v>
      </c>
      <c r="J38" s="4"/>
      <c r="K38" s="4"/>
    </row>
    <row r="39" spans="2:11" x14ac:dyDescent="0.25">
      <c r="B39" s="4" t="s">
        <v>55</v>
      </c>
      <c r="C39" s="4"/>
      <c r="D39" s="4"/>
      <c r="E39" s="4"/>
      <c r="F39" s="4"/>
      <c r="G39" s="4"/>
      <c r="H39" s="130">
        <v>1</v>
      </c>
      <c r="I39" s="80" t="s">
        <v>51</v>
      </c>
      <c r="J39" s="4"/>
      <c r="K39" s="4"/>
    </row>
    <row r="40" spans="2:11" x14ac:dyDescent="0.25">
      <c r="B40" s="4" t="s">
        <v>52</v>
      </c>
      <c r="C40" s="4"/>
      <c r="D40" s="4"/>
      <c r="E40" s="4"/>
      <c r="F40" s="4"/>
      <c r="G40" s="4"/>
      <c r="H40" s="130">
        <v>25</v>
      </c>
      <c r="I40" s="80" t="s">
        <v>53</v>
      </c>
      <c r="J40" s="4"/>
      <c r="K40" s="4"/>
    </row>
    <row r="41" spans="2:11" x14ac:dyDescent="0.25">
      <c r="B41" s="4" t="s">
        <v>54</v>
      </c>
      <c r="C41" s="4"/>
      <c r="D41" s="4"/>
      <c r="E41" s="4"/>
      <c r="F41" s="4"/>
      <c r="G41" s="4"/>
      <c r="H41" s="130">
        <v>2</v>
      </c>
      <c r="I41" s="80" t="s">
        <v>46</v>
      </c>
      <c r="J41" s="4"/>
      <c r="K41" s="4"/>
    </row>
    <row r="42" spans="2:11" x14ac:dyDescent="0.25">
      <c r="B42" s="4" t="s">
        <v>47</v>
      </c>
      <c r="C42" s="4"/>
      <c r="D42" s="4"/>
      <c r="E42" s="4"/>
      <c r="F42" s="4"/>
      <c r="G42" s="4"/>
      <c r="H42" s="130">
        <v>7</v>
      </c>
      <c r="I42" s="80" t="s">
        <v>46</v>
      </c>
      <c r="J42" s="4"/>
      <c r="K42" s="4"/>
    </row>
    <row r="44" spans="2:11" x14ac:dyDescent="0.25">
      <c r="B44" s="2" t="s">
        <v>59</v>
      </c>
    </row>
    <row r="45" spans="2:11" x14ac:dyDescent="0.25">
      <c r="B45" s="4" t="s">
        <v>22</v>
      </c>
      <c r="C45" s="5">
        <f t="shared" ref="C45" si="0">D45-1</f>
        <v>1</v>
      </c>
      <c r="D45" s="5">
        <f>E45-1</f>
        <v>2</v>
      </c>
      <c r="E45" s="5">
        <v>3</v>
      </c>
      <c r="F45" s="5" t="s">
        <v>29</v>
      </c>
    </row>
    <row r="46" spans="2:11" x14ac:dyDescent="0.25">
      <c r="B46" s="4" t="s">
        <v>31</v>
      </c>
      <c r="C46" s="130">
        <v>20</v>
      </c>
      <c r="D46" s="130">
        <v>50</v>
      </c>
      <c r="E46" s="130">
        <v>30</v>
      </c>
      <c r="F46" s="5" t="s">
        <v>28</v>
      </c>
    </row>
    <row r="48" spans="2:11" x14ac:dyDescent="0.25">
      <c r="B48" s="141" t="s">
        <v>48</v>
      </c>
      <c r="C48" s="141"/>
      <c r="D48" s="74">
        <f>(E46*(1+$E$5/100)^(E6-$E$45)+D46*(1+$E$5/100)^(E6-$D$45)+C46*(1+$E$5/100)^(E6-$C$45))/SUM(C46:E46)</f>
        <v>1.1591424000000001</v>
      </c>
    </row>
    <row r="50" spans="1:9" ht="15.75" x14ac:dyDescent="0.25">
      <c r="A50" s="101" t="s">
        <v>78</v>
      </c>
    </row>
    <row r="52" spans="1:9" x14ac:dyDescent="0.25">
      <c r="B52" s="2" t="s">
        <v>39</v>
      </c>
    </row>
    <row r="53" spans="1:9" ht="30" customHeight="1" x14ac:dyDescent="0.25">
      <c r="B53" s="6"/>
      <c r="E53" s="142" t="s">
        <v>109</v>
      </c>
      <c r="F53" s="143"/>
      <c r="G53" s="84" t="s">
        <v>38</v>
      </c>
      <c r="H53" s="144" t="s">
        <v>12</v>
      </c>
      <c r="I53" s="145"/>
    </row>
    <row r="54" spans="1:9" x14ac:dyDescent="0.25">
      <c r="B54" s="163" t="s">
        <v>101</v>
      </c>
      <c r="C54" s="147"/>
      <c r="D54" s="147"/>
      <c r="E54" s="152">
        <v>10</v>
      </c>
      <c r="F54" s="153"/>
      <c r="G54" s="139">
        <v>10</v>
      </c>
      <c r="H54" s="152">
        <v>0</v>
      </c>
      <c r="I54" s="153"/>
    </row>
    <row r="55" spans="1:9" x14ac:dyDescent="0.25">
      <c r="B55" s="2"/>
    </row>
    <row r="56" spans="1:9" x14ac:dyDescent="0.25">
      <c r="B56" s="4" t="s">
        <v>74</v>
      </c>
      <c r="C56" s="4"/>
      <c r="D56" s="4"/>
      <c r="E56" s="4"/>
      <c r="F56" s="131">
        <v>80000</v>
      </c>
      <c r="G56" s="5" t="s">
        <v>75</v>
      </c>
    </row>
    <row r="57" spans="1:9" x14ac:dyDescent="0.25">
      <c r="F57" s="6"/>
    </row>
    <row r="58" spans="1:9" x14ac:dyDescent="0.25">
      <c r="B58" s="2" t="s">
        <v>62</v>
      </c>
      <c r="F58" s="6"/>
    </row>
    <row r="59" spans="1:9" x14ac:dyDescent="0.25">
      <c r="B59" s="8" t="s">
        <v>13</v>
      </c>
      <c r="C59" s="9"/>
      <c r="D59" s="9"/>
      <c r="E59" s="9"/>
      <c r="F59" s="130">
        <v>2</v>
      </c>
      <c r="G59" s="5" t="s">
        <v>46</v>
      </c>
    </row>
    <row r="60" spans="1:9" ht="18" x14ac:dyDescent="0.35">
      <c r="B60" s="9" t="s">
        <v>80</v>
      </c>
      <c r="C60" s="9"/>
      <c r="D60" s="9"/>
      <c r="E60" s="9"/>
      <c r="F60" s="130">
        <v>2</v>
      </c>
      <c r="G60" s="5" t="s">
        <v>46</v>
      </c>
    </row>
    <row r="61" spans="1:9" x14ac:dyDescent="0.25">
      <c r="B61" s="9" t="s">
        <v>9</v>
      </c>
      <c r="C61" s="9"/>
      <c r="D61" s="9"/>
      <c r="E61" s="9"/>
      <c r="F61" s="130">
        <v>2.5</v>
      </c>
      <c r="G61" s="5" t="s">
        <v>46</v>
      </c>
    </row>
    <row r="62" spans="1:9" x14ac:dyDescent="0.25">
      <c r="B62" s="9" t="s">
        <v>60</v>
      </c>
      <c r="C62" s="9"/>
      <c r="D62" s="9"/>
      <c r="E62" s="9"/>
      <c r="F62" s="130">
        <v>1</v>
      </c>
      <c r="G62" s="5" t="s">
        <v>46</v>
      </c>
    </row>
    <row r="63" spans="1:9" x14ac:dyDescent="0.25">
      <c r="B63" s="9" t="s">
        <v>61</v>
      </c>
      <c r="C63" s="9"/>
      <c r="D63" s="9"/>
      <c r="E63" s="9"/>
      <c r="F63" s="130">
        <v>1</v>
      </c>
      <c r="G63" s="5" t="s">
        <v>46</v>
      </c>
    </row>
    <row r="64" spans="1:9" x14ac:dyDescent="0.25">
      <c r="F64" s="6"/>
      <c r="G64" s="82"/>
    </row>
    <row r="65" spans="1:10" x14ac:dyDescent="0.25">
      <c r="B65" s="2" t="s">
        <v>81</v>
      </c>
      <c r="F65" s="6"/>
      <c r="G65" s="82"/>
    </row>
    <row r="66" spans="1:10" ht="28.15" customHeight="1" x14ac:dyDescent="0.25">
      <c r="B66" s="167" t="s">
        <v>63</v>
      </c>
      <c r="C66" s="147"/>
      <c r="D66" s="147"/>
      <c r="E66" s="147"/>
      <c r="F66" s="132">
        <v>60</v>
      </c>
      <c r="G66" s="84" t="s">
        <v>28</v>
      </c>
    </row>
    <row r="67" spans="1:10" x14ac:dyDescent="0.25">
      <c r="F67" s="6"/>
      <c r="G67" s="82"/>
    </row>
    <row r="68" spans="1:10" x14ac:dyDescent="0.25">
      <c r="B68" s="2" t="s">
        <v>64</v>
      </c>
      <c r="F68" s="6"/>
      <c r="G68" s="82"/>
    </row>
    <row r="69" spans="1:10" x14ac:dyDescent="0.25">
      <c r="B69" s="4" t="s">
        <v>64</v>
      </c>
      <c r="C69" s="4"/>
      <c r="D69" s="4"/>
      <c r="E69" s="4"/>
      <c r="F69" s="130">
        <v>0.5</v>
      </c>
      <c r="G69" s="81" t="s">
        <v>46</v>
      </c>
    </row>
    <row r="70" spans="1:10" x14ac:dyDescent="0.25">
      <c r="G70" s="82"/>
    </row>
    <row r="71" spans="1:10" ht="15.75" x14ac:dyDescent="0.25">
      <c r="A71" s="101" t="s">
        <v>79</v>
      </c>
      <c r="B71" s="2"/>
      <c r="G71" s="82"/>
    </row>
    <row r="72" spans="1:10" ht="15.75" x14ac:dyDescent="0.25">
      <c r="A72" s="101"/>
      <c r="B72" s="2"/>
      <c r="G72" s="82"/>
    </row>
    <row r="73" spans="1:10" ht="15.75" x14ac:dyDescent="0.25">
      <c r="A73" s="101"/>
      <c r="B73" s="2" t="s">
        <v>146</v>
      </c>
      <c r="G73" s="82"/>
    </row>
    <row r="74" spans="1:10" ht="32.25" customHeight="1" x14ac:dyDescent="0.25">
      <c r="A74" s="101"/>
      <c r="B74" s="6"/>
      <c r="E74" s="142" t="s">
        <v>109</v>
      </c>
      <c r="F74" s="143"/>
      <c r="G74" s="84" t="s">
        <v>38</v>
      </c>
      <c r="H74" s="144" t="s">
        <v>12</v>
      </c>
      <c r="I74" s="145"/>
    </row>
    <row r="75" spans="1:10" ht="15.75" x14ac:dyDescent="0.25">
      <c r="A75" s="101"/>
      <c r="B75" s="9" t="s">
        <v>42</v>
      </c>
      <c r="C75" s="80"/>
      <c r="D75" s="80"/>
      <c r="E75" s="140" t="s">
        <v>29</v>
      </c>
      <c r="F75" s="147"/>
      <c r="G75" s="136">
        <v>222.3</v>
      </c>
      <c r="H75" s="140" t="s">
        <v>29</v>
      </c>
      <c r="I75" s="147"/>
      <c r="J75" s="5" t="s">
        <v>136</v>
      </c>
    </row>
    <row r="76" spans="1:10" ht="15.75" x14ac:dyDescent="0.25">
      <c r="A76" s="101"/>
      <c r="B76" s="9" t="s">
        <v>137</v>
      </c>
      <c r="C76" s="80"/>
      <c r="D76" s="80"/>
      <c r="E76" s="164"/>
      <c r="F76" s="153"/>
      <c r="G76" s="61" t="s">
        <v>29</v>
      </c>
      <c r="H76" s="140" t="s">
        <v>29</v>
      </c>
      <c r="I76" s="147"/>
      <c r="J76" s="5" t="s">
        <v>138</v>
      </c>
    </row>
    <row r="77" spans="1:10" ht="15.75" x14ac:dyDescent="0.25">
      <c r="A77" s="101"/>
      <c r="B77" s="9" t="s">
        <v>139</v>
      </c>
      <c r="C77" s="80"/>
      <c r="D77" s="80"/>
      <c r="E77" s="164">
        <v>85.8</v>
      </c>
      <c r="F77" s="153"/>
      <c r="G77" s="61" t="s">
        <v>29</v>
      </c>
      <c r="H77" s="140" t="s">
        <v>29</v>
      </c>
      <c r="I77" s="147"/>
      <c r="J77" s="5" t="s">
        <v>140</v>
      </c>
    </row>
    <row r="78" spans="1:10" ht="15.75" x14ac:dyDescent="0.25">
      <c r="A78" s="101"/>
      <c r="B78" s="9" t="s">
        <v>141</v>
      </c>
      <c r="C78" s="80"/>
      <c r="D78" s="80"/>
      <c r="E78" s="140" t="s">
        <v>29</v>
      </c>
      <c r="F78" s="147"/>
      <c r="G78" s="136">
        <v>140.6</v>
      </c>
      <c r="H78" s="140" t="s">
        <v>29</v>
      </c>
      <c r="I78" s="147"/>
      <c r="J78" s="5" t="s">
        <v>138</v>
      </c>
    </row>
    <row r="79" spans="1:10" ht="15.75" x14ac:dyDescent="0.25">
      <c r="A79" s="101"/>
      <c r="B79" s="9" t="s">
        <v>142</v>
      </c>
      <c r="C79" s="80"/>
      <c r="D79" s="80"/>
      <c r="E79" s="164">
        <v>0.2</v>
      </c>
      <c r="F79" s="153"/>
      <c r="G79" s="61" t="s">
        <v>29</v>
      </c>
      <c r="H79" s="140" t="s">
        <v>29</v>
      </c>
      <c r="I79" s="147"/>
      <c r="J79" s="5" t="s">
        <v>138</v>
      </c>
    </row>
    <row r="80" spans="1:10" ht="15.75" x14ac:dyDescent="0.25">
      <c r="A80" s="101"/>
      <c r="B80" s="2"/>
      <c r="G80" s="82"/>
      <c r="J80" s="82"/>
    </row>
    <row r="81" spans="1:10" ht="18" x14ac:dyDescent="0.35">
      <c r="A81" s="101"/>
      <c r="B81" s="116" t="s">
        <v>159</v>
      </c>
      <c r="C81" s="116"/>
      <c r="D81" s="116"/>
      <c r="E81" s="116"/>
      <c r="F81" s="116"/>
      <c r="G81" s="5"/>
      <c r="H81" s="120"/>
      <c r="I81" s="133">
        <v>0.68654923248774991</v>
      </c>
      <c r="J81" s="5" t="s">
        <v>28</v>
      </c>
    </row>
    <row r="82" spans="1:10" ht="15.75" x14ac:dyDescent="0.25">
      <c r="A82" s="101"/>
      <c r="B82" s="2"/>
      <c r="G82" s="115"/>
      <c r="J82" s="115"/>
    </row>
    <row r="83" spans="1:10" ht="15.75" x14ac:dyDescent="0.25">
      <c r="A83" s="101"/>
      <c r="B83" s="2" t="s">
        <v>147</v>
      </c>
      <c r="G83" s="82"/>
      <c r="J83" s="82"/>
    </row>
    <row r="84" spans="1:10" ht="36" customHeight="1" x14ac:dyDescent="0.25">
      <c r="A84" s="101"/>
      <c r="B84" s="2"/>
      <c r="E84" s="142" t="s">
        <v>109</v>
      </c>
      <c r="F84" s="143"/>
      <c r="G84" s="84" t="s">
        <v>38</v>
      </c>
      <c r="H84" s="144" t="s">
        <v>12</v>
      </c>
      <c r="I84" s="145"/>
      <c r="J84" s="82"/>
    </row>
    <row r="85" spans="1:10" ht="14.25" hidden="1" customHeight="1" x14ac:dyDescent="0.25">
      <c r="A85" s="101"/>
      <c r="B85" s="9" t="s">
        <v>42</v>
      </c>
      <c r="C85" s="80"/>
      <c r="D85" s="80"/>
      <c r="E85" s="140" t="s">
        <v>29</v>
      </c>
      <c r="F85" s="141"/>
      <c r="G85" s="61">
        <f>'Input data'!G75*'Input data'!$E$12</f>
        <v>1867319.9999999998</v>
      </c>
      <c r="H85" s="140" t="s">
        <v>29</v>
      </c>
      <c r="I85" s="141"/>
      <c r="J85" s="5" t="s">
        <v>143</v>
      </c>
    </row>
    <row r="86" spans="1:10" ht="15" hidden="1" customHeight="1" x14ac:dyDescent="0.25">
      <c r="A86" s="101"/>
      <c r="B86" s="9" t="s">
        <v>137</v>
      </c>
      <c r="C86" s="80"/>
      <c r="D86" s="80"/>
      <c r="E86" s="140">
        <f>'Input data'!E76*'Input data'!$E$12</f>
        <v>0</v>
      </c>
      <c r="F86" s="141"/>
      <c r="G86" s="61" t="s">
        <v>29</v>
      </c>
      <c r="H86" s="140" t="s">
        <v>29</v>
      </c>
      <c r="I86" s="141"/>
      <c r="J86" s="5" t="s">
        <v>144</v>
      </c>
    </row>
    <row r="87" spans="1:10" ht="20.25" hidden="1" customHeight="1" x14ac:dyDescent="0.25">
      <c r="A87" s="101"/>
      <c r="B87" s="9" t="s">
        <v>139</v>
      </c>
      <c r="C87" s="80"/>
      <c r="D87" s="80"/>
      <c r="E87" s="140">
        <f>'Input data'!E77*'Input data'!$E$12/1000</f>
        <v>720.7199999999998</v>
      </c>
      <c r="F87" s="141"/>
      <c r="G87" s="61" t="s">
        <v>29</v>
      </c>
      <c r="H87" s="140" t="s">
        <v>29</v>
      </c>
      <c r="I87" s="141"/>
      <c r="J87" s="5" t="s">
        <v>144</v>
      </c>
    </row>
    <row r="88" spans="1:10" ht="15.75" x14ac:dyDescent="0.25">
      <c r="A88" s="101"/>
      <c r="B88" s="9" t="s">
        <v>145</v>
      </c>
      <c r="C88" s="80"/>
      <c r="D88" s="80"/>
      <c r="E88" s="146">
        <v>0.31</v>
      </c>
      <c r="F88" s="146"/>
      <c r="G88" s="61" t="s">
        <v>29</v>
      </c>
      <c r="H88" s="140" t="s">
        <v>29</v>
      </c>
      <c r="I88" s="141"/>
      <c r="J88" s="5" t="s">
        <v>144</v>
      </c>
    </row>
    <row r="89" spans="1:10" ht="14.25" hidden="1" x14ac:dyDescent="0.25">
      <c r="A89" s="101"/>
      <c r="B89" s="9" t="s">
        <v>141</v>
      </c>
      <c r="C89" s="80"/>
      <c r="D89" s="80"/>
      <c r="E89" s="140" t="s">
        <v>29</v>
      </c>
      <c r="F89" s="141"/>
      <c r="G89" s="61">
        <f>'Input data'!G78*'Input data'!$E$12</f>
        <v>1181039.9999999998</v>
      </c>
      <c r="H89" s="140" t="s">
        <v>29</v>
      </c>
      <c r="I89" s="141"/>
      <c r="J89" s="80" t="s">
        <v>144</v>
      </c>
    </row>
    <row r="90" spans="1:10" ht="14.25" hidden="1" x14ac:dyDescent="0.25">
      <c r="A90" s="101"/>
      <c r="B90" s="9" t="s">
        <v>142</v>
      </c>
      <c r="C90" s="80"/>
      <c r="D90" s="80"/>
      <c r="E90" s="140">
        <f>'Input data'!E79*'Input data'!$E$12</f>
        <v>1679.9999999999998</v>
      </c>
      <c r="F90" s="141"/>
      <c r="G90" s="61" t="s">
        <v>29</v>
      </c>
      <c r="H90" s="140" t="s">
        <v>29</v>
      </c>
      <c r="I90" s="141"/>
      <c r="J90" s="80" t="s">
        <v>144</v>
      </c>
    </row>
    <row r="91" spans="1:10" x14ac:dyDescent="0.25">
      <c r="G91" s="82"/>
    </row>
    <row r="92" spans="1:10" x14ac:dyDescent="0.25">
      <c r="B92" s="2" t="s">
        <v>133</v>
      </c>
      <c r="G92" s="82"/>
    </row>
    <row r="93" spans="1:10" x14ac:dyDescent="0.25">
      <c r="B93" s="9" t="s">
        <v>65</v>
      </c>
      <c r="C93" s="9"/>
      <c r="D93" s="9"/>
      <c r="E93" s="9"/>
      <c r="F93" s="134">
        <f>6*1.10779552</f>
        <v>6.6467731200000006</v>
      </c>
      <c r="G93" s="5" t="s">
        <v>71</v>
      </c>
    </row>
    <row r="94" spans="1:10" x14ac:dyDescent="0.25">
      <c r="B94" s="9" t="s">
        <v>66</v>
      </c>
      <c r="C94" s="9"/>
      <c r="D94" s="9"/>
      <c r="E94" s="9"/>
      <c r="F94" s="130">
        <v>44</v>
      </c>
      <c r="G94" s="5" t="s">
        <v>72</v>
      </c>
    </row>
    <row r="95" spans="1:10" x14ac:dyDescent="0.25">
      <c r="B95" s="9" t="s">
        <v>67</v>
      </c>
      <c r="C95" s="9"/>
      <c r="D95" s="9"/>
      <c r="E95" s="9"/>
      <c r="F95" s="131">
        <v>2000</v>
      </c>
      <c r="G95" s="5" t="s">
        <v>72</v>
      </c>
    </row>
    <row r="96" spans="1:10" x14ac:dyDescent="0.25">
      <c r="B96" s="9" t="s">
        <v>68</v>
      </c>
      <c r="C96" s="9"/>
      <c r="D96" s="9"/>
      <c r="E96" s="9"/>
      <c r="F96" s="131">
        <f>7200</f>
        <v>7200</v>
      </c>
      <c r="G96" s="5" t="s">
        <v>72</v>
      </c>
    </row>
    <row r="97" spans="1:15" x14ac:dyDescent="0.25">
      <c r="B97" s="9" t="s">
        <v>69</v>
      </c>
      <c r="C97" s="9"/>
      <c r="D97" s="9"/>
      <c r="E97" s="9"/>
      <c r="F97" s="130">
        <v>0.1</v>
      </c>
      <c r="G97" s="5" t="s">
        <v>72</v>
      </c>
    </row>
    <row r="98" spans="1:15" x14ac:dyDescent="0.25">
      <c r="B98" s="9" t="s">
        <v>70</v>
      </c>
      <c r="C98" s="9"/>
      <c r="D98" s="9"/>
      <c r="E98" s="9"/>
      <c r="F98" s="130">
        <v>225</v>
      </c>
      <c r="G98" s="5" t="s">
        <v>72</v>
      </c>
    </row>
    <row r="99" spans="1:15" x14ac:dyDescent="0.25">
      <c r="B99" s="9" t="s">
        <v>73</v>
      </c>
      <c r="C99" s="4"/>
      <c r="D99" s="4"/>
      <c r="E99" s="4"/>
      <c r="F99" s="130">
        <v>0</v>
      </c>
      <c r="G99" s="5" t="s">
        <v>72</v>
      </c>
    </row>
    <row r="100" spans="1:15" x14ac:dyDescent="0.25">
      <c r="F100" s="1"/>
    </row>
    <row r="101" spans="1:15" ht="15.75" x14ac:dyDescent="0.25">
      <c r="A101" s="101" t="s">
        <v>91</v>
      </c>
      <c r="F101" s="1"/>
    </row>
    <row r="102" spans="1:15" x14ac:dyDescent="0.25">
      <c r="F102" s="1"/>
    </row>
    <row r="103" spans="1:15" x14ac:dyDescent="0.25">
      <c r="B103" s="9" t="s">
        <v>148</v>
      </c>
      <c r="C103" s="9"/>
      <c r="D103" s="9"/>
      <c r="E103" s="9"/>
      <c r="F103" s="134" t="s">
        <v>107</v>
      </c>
      <c r="O103" t="s">
        <v>106</v>
      </c>
    </row>
    <row r="104" spans="1:15" x14ac:dyDescent="0.25">
      <c r="O104" t="s">
        <v>107</v>
      </c>
    </row>
    <row r="105" spans="1:15" x14ac:dyDescent="0.25">
      <c r="B105" s="9" t="s">
        <v>151</v>
      </c>
      <c r="C105" s="80"/>
      <c r="D105" s="80"/>
      <c r="E105" s="80"/>
      <c r="F105" s="136">
        <v>0.6</v>
      </c>
      <c r="G105" s="5" t="s">
        <v>149</v>
      </c>
    </row>
    <row r="106" spans="1:15" hidden="1" x14ac:dyDescent="0.25">
      <c r="B106" s="9" t="s">
        <v>153</v>
      </c>
      <c r="C106" s="80"/>
      <c r="D106" s="80"/>
      <c r="E106" s="80"/>
      <c r="F106" s="135">
        <f>F105*E12</f>
        <v>5039.9999999999991</v>
      </c>
      <c r="G106" s="5" t="s">
        <v>150</v>
      </c>
    </row>
    <row r="107" spans="1:15" x14ac:dyDescent="0.25">
      <c r="B107" s="9" t="s">
        <v>152</v>
      </c>
      <c r="C107" s="9"/>
      <c r="D107" s="9"/>
      <c r="E107" s="80"/>
      <c r="F107" s="134">
        <v>90</v>
      </c>
      <c r="G107" s="5" t="s">
        <v>89</v>
      </c>
    </row>
    <row r="109" spans="1:15" ht="15.75" x14ac:dyDescent="0.25">
      <c r="A109" s="101" t="s">
        <v>130</v>
      </c>
    </row>
    <row r="110" spans="1:15" x14ac:dyDescent="0.25">
      <c r="A110" s="2"/>
    </row>
    <row r="111" spans="1:15" x14ac:dyDescent="0.25">
      <c r="A111" s="2"/>
      <c r="D111" s="161" t="s">
        <v>85</v>
      </c>
      <c r="E111" s="162"/>
    </row>
    <row r="112" spans="1:15" x14ac:dyDescent="0.25">
      <c r="B112" s="141" t="s">
        <v>34</v>
      </c>
      <c r="C112" s="147"/>
      <c r="D112" s="133">
        <v>-0.15</v>
      </c>
      <c r="E112" s="133">
        <v>0.35</v>
      </c>
      <c r="F112" s="5" t="s">
        <v>28</v>
      </c>
    </row>
    <row r="113" spans="2:6" x14ac:dyDescent="0.25">
      <c r="B113" s="141" t="s">
        <v>84</v>
      </c>
      <c r="C113" s="147"/>
      <c r="D113" s="133">
        <v>-0.2</v>
      </c>
      <c r="E113" s="133">
        <v>0.2</v>
      </c>
      <c r="F113" s="5" t="s">
        <v>28</v>
      </c>
    </row>
    <row r="114" spans="2:6" x14ac:dyDescent="0.25">
      <c r="B114" s="141" t="s">
        <v>52</v>
      </c>
      <c r="C114" s="147"/>
      <c r="D114" s="133">
        <v>-0.3</v>
      </c>
      <c r="E114" s="133">
        <v>0.3</v>
      </c>
      <c r="F114" s="5" t="s">
        <v>28</v>
      </c>
    </row>
    <row r="115" spans="2:6" ht="18" x14ac:dyDescent="0.25">
      <c r="B115" s="10" t="s">
        <v>109</v>
      </c>
      <c r="C115" s="118"/>
      <c r="D115" s="133">
        <v>-0.3</v>
      </c>
      <c r="E115" s="133">
        <v>0.3</v>
      </c>
      <c r="F115" s="5" t="s">
        <v>28</v>
      </c>
    </row>
    <row r="116" spans="2:6" x14ac:dyDescent="0.25">
      <c r="B116" s="10" t="s">
        <v>38</v>
      </c>
      <c r="C116" s="118"/>
      <c r="D116" s="133">
        <v>-0.3</v>
      </c>
      <c r="E116" s="133">
        <v>0.3</v>
      </c>
      <c r="F116" s="5" t="s">
        <v>28</v>
      </c>
    </row>
    <row r="117" spans="2:6" x14ac:dyDescent="0.25">
      <c r="B117" s="9" t="s">
        <v>12</v>
      </c>
      <c r="C117" s="118"/>
      <c r="D117" s="133">
        <v>-0.3</v>
      </c>
      <c r="E117" s="133">
        <v>0.3</v>
      </c>
      <c r="F117" s="5" t="s">
        <v>28</v>
      </c>
    </row>
    <row r="118" spans="2:6" x14ac:dyDescent="0.25">
      <c r="B118" s="117" t="s">
        <v>157</v>
      </c>
      <c r="C118" s="114"/>
      <c r="D118" s="133">
        <v>-0.33</v>
      </c>
      <c r="E118" s="133">
        <v>0</v>
      </c>
      <c r="F118" s="5" t="s">
        <v>28</v>
      </c>
    </row>
    <row r="119" spans="2:6" x14ac:dyDescent="0.25">
      <c r="B119" s="117" t="s">
        <v>156</v>
      </c>
      <c r="C119" s="114"/>
      <c r="D119" s="133">
        <v>-0.3</v>
      </c>
      <c r="E119" s="133">
        <v>0</v>
      </c>
      <c r="F119" s="5" t="s">
        <v>28</v>
      </c>
    </row>
    <row r="121" spans="2:6" x14ac:dyDescent="0.25">
      <c r="D121" s="161" t="s">
        <v>154</v>
      </c>
      <c r="E121" s="162"/>
    </row>
    <row r="122" spans="2:6" x14ac:dyDescent="0.25">
      <c r="B122" s="49" t="s">
        <v>113</v>
      </c>
      <c r="C122" s="49"/>
      <c r="D122" s="130">
        <v>10</v>
      </c>
      <c r="E122" s="130">
        <v>40</v>
      </c>
      <c r="F122" s="5" t="s">
        <v>115</v>
      </c>
    </row>
    <row r="123" spans="2:6" x14ac:dyDescent="0.25">
      <c r="B123" s="49" t="s">
        <v>26</v>
      </c>
      <c r="C123" s="49"/>
      <c r="D123" s="130">
        <v>4</v>
      </c>
      <c r="E123" s="130">
        <v>12</v>
      </c>
      <c r="F123" s="5" t="s">
        <v>28</v>
      </c>
    </row>
    <row r="124" spans="2:6" x14ac:dyDescent="0.25">
      <c r="B124" s="49" t="s">
        <v>114</v>
      </c>
      <c r="C124" s="49"/>
      <c r="D124" s="130">
        <v>70</v>
      </c>
      <c r="E124" s="130">
        <v>100</v>
      </c>
      <c r="F124" s="5" t="s">
        <v>28</v>
      </c>
    </row>
  </sheetData>
  <sheetProtection algorithmName="SHA-512" hashValue="XxP2f/mn6hoO7d+4GFD3OjgNgIwLeiJMoTTeltnppqY4uMYz7vFT8U9hiEQBkZJ1qeDAvOmFhIWmFmCRx0fc+A==" saltValue="qWyb5/eSTmYA8KFZoOyXCg==" spinCount="100000" sheet="1" objects="1" scenarios="1"/>
  <mergeCells count="55">
    <mergeCell ref="B113:C113"/>
    <mergeCell ref="B114:C114"/>
    <mergeCell ref="B66:E66"/>
    <mergeCell ref="B34:D34"/>
    <mergeCell ref="D111:E111"/>
    <mergeCell ref="B5:D5"/>
    <mergeCell ref="B6:D6"/>
    <mergeCell ref="B7:D7"/>
    <mergeCell ref="B8:D8"/>
    <mergeCell ref="B48:C48"/>
    <mergeCell ref="B9:D9"/>
    <mergeCell ref="B16:E16"/>
    <mergeCell ref="B17:E17"/>
    <mergeCell ref="B19:E19"/>
    <mergeCell ref="B20:E20"/>
    <mergeCell ref="H25:J25"/>
    <mergeCell ref="K25:L26"/>
    <mergeCell ref="K27:L27"/>
    <mergeCell ref="K28:L28"/>
    <mergeCell ref="D121:E121"/>
    <mergeCell ref="D25:G25"/>
    <mergeCell ref="B54:D54"/>
    <mergeCell ref="E74:F74"/>
    <mergeCell ref="E75:F75"/>
    <mergeCell ref="E76:F76"/>
    <mergeCell ref="E77:F77"/>
    <mergeCell ref="E78:F78"/>
    <mergeCell ref="E79:F79"/>
    <mergeCell ref="E89:F89"/>
    <mergeCell ref="E90:F90"/>
    <mergeCell ref="B112:C112"/>
    <mergeCell ref="H78:I78"/>
    <mergeCell ref="H79:I79"/>
    <mergeCell ref="K29:L29"/>
    <mergeCell ref="K30:L30"/>
    <mergeCell ref="E53:F53"/>
    <mergeCell ref="E54:F54"/>
    <mergeCell ref="H53:I53"/>
    <mergeCell ref="H54:I54"/>
    <mergeCell ref="H89:I89"/>
    <mergeCell ref="H90:I90"/>
    <mergeCell ref="E84:F84"/>
    <mergeCell ref="H84:I84"/>
    <mergeCell ref="H74:I74"/>
    <mergeCell ref="E85:F85"/>
    <mergeCell ref="E86:F86"/>
    <mergeCell ref="E87:F87"/>
    <mergeCell ref="E88:F88"/>
    <mergeCell ref="H85:I85"/>
    <mergeCell ref="H86:I86"/>
    <mergeCell ref="H87:I87"/>
    <mergeCell ref="H88:I88"/>
    <mergeCell ref="H75:I75"/>
    <mergeCell ref="H76:I76"/>
    <mergeCell ref="H77:I77"/>
  </mergeCells>
  <dataValidations count="2">
    <dataValidation type="list" allowBlank="1" showInputMessage="1" showErrorMessage="1" sqref="F103">
      <formula1>List</formula1>
    </dataValidation>
    <dataValidation type="list" allowBlank="1" showInputMessage="1" showErrorMessage="1" sqref="E7">
      <formula1>Number_of_years</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B1:V59"/>
  <sheetViews>
    <sheetView workbookViewId="0">
      <selection activeCell="V59" sqref="V59"/>
    </sheetView>
  </sheetViews>
  <sheetFormatPr defaultRowHeight="15" x14ac:dyDescent="0.25"/>
  <cols>
    <col min="4" max="4" width="16.7109375" customWidth="1"/>
    <col min="7" max="7" width="16.42578125" bestFit="1" customWidth="1"/>
    <col min="10" max="10" width="16.42578125" bestFit="1" customWidth="1"/>
    <col min="13" max="13" width="16.42578125" bestFit="1" customWidth="1"/>
    <col min="16" max="16" width="16.42578125" bestFit="1" customWidth="1"/>
    <col min="19" max="19" width="16.42578125" bestFit="1" customWidth="1"/>
    <col min="22" max="22" width="16.42578125" bestFit="1" customWidth="1"/>
  </cols>
  <sheetData>
    <row r="1" spans="2:22" ht="15.75" thickBot="1" x14ac:dyDescent="0.3"/>
    <row r="2" spans="2:22" ht="15.75" thickBot="1" x14ac:dyDescent="0.3">
      <c r="B2" s="172" t="s">
        <v>164</v>
      </c>
      <c r="C2" s="173"/>
      <c r="D2" s="174"/>
      <c r="E2" s="169" t="s">
        <v>163</v>
      </c>
      <c r="F2" s="170"/>
      <c r="G2" s="170"/>
      <c r="H2" s="170"/>
      <c r="I2" s="170"/>
      <c r="J2" s="170"/>
      <c r="K2" s="170"/>
      <c r="L2" s="170"/>
      <c r="M2" s="170"/>
      <c r="N2" s="170"/>
      <c r="O2" s="170"/>
      <c r="P2" s="170"/>
      <c r="Q2" s="170"/>
      <c r="R2" s="170"/>
      <c r="S2" s="170"/>
      <c r="T2" s="170"/>
      <c r="U2" s="170"/>
      <c r="V2" s="171"/>
    </row>
    <row r="3" spans="2:22" x14ac:dyDescent="0.25">
      <c r="B3" s="175"/>
      <c r="C3" s="176"/>
      <c r="D3" s="177"/>
      <c r="E3" s="181" t="s">
        <v>116</v>
      </c>
      <c r="F3" s="182"/>
      <c r="G3" s="182"/>
      <c r="H3" s="182"/>
      <c r="I3" s="182"/>
      <c r="J3" s="183"/>
      <c r="K3" s="181" t="s">
        <v>117</v>
      </c>
      <c r="L3" s="182"/>
      <c r="M3" s="182"/>
      <c r="N3" s="182"/>
      <c r="O3" s="182"/>
      <c r="P3" s="183"/>
      <c r="Q3" s="181" t="s">
        <v>118</v>
      </c>
      <c r="R3" s="182"/>
      <c r="S3" s="182"/>
      <c r="T3" s="182"/>
      <c r="U3" s="182"/>
      <c r="V3" s="183"/>
    </row>
    <row r="4" spans="2:22" ht="15.75" thickBot="1" x14ac:dyDescent="0.3">
      <c r="B4" s="178"/>
      <c r="C4" s="179"/>
      <c r="D4" s="180"/>
      <c r="E4" s="184">
        <f>'Input data'!D122</f>
        <v>10</v>
      </c>
      <c r="F4" s="185"/>
      <c r="G4" s="185"/>
      <c r="H4" s="185">
        <f>'Input data'!E122</f>
        <v>40</v>
      </c>
      <c r="I4" s="185"/>
      <c r="J4" s="186"/>
      <c r="K4" s="184">
        <f>'Input data'!D123</f>
        <v>4</v>
      </c>
      <c r="L4" s="185"/>
      <c r="M4" s="185"/>
      <c r="N4" s="185">
        <f>'Input data'!E123</f>
        <v>12</v>
      </c>
      <c r="O4" s="185"/>
      <c r="P4" s="186"/>
      <c r="Q4" s="184">
        <f>'Input data'!D124</f>
        <v>70</v>
      </c>
      <c r="R4" s="185"/>
      <c r="S4" s="185"/>
      <c r="T4" s="185">
        <f>'Input data'!E124</f>
        <v>100</v>
      </c>
      <c r="U4" s="185"/>
      <c r="V4" s="186"/>
    </row>
    <row r="5" spans="2:22" x14ac:dyDescent="0.25">
      <c r="B5" s="64" t="s">
        <v>22</v>
      </c>
      <c r="C5" s="65" t="s">
        <v>23</v>
      </c>
      <c r="D5" s="66" t="s">
        <v>24</v>
      </c>
      <c r="E5" s="64" t="s">
        <v>22</v>
      </c>
      <c r="F5" s="65" t="s">
        <v>23</v>
      </c>
      <c r="G5" s="76" t="s">
        <v>24</v>
      </c>
      <c r="H5" s="77" t="s">
        <v>22</v>
      </c>
      <c r="I5" s="65" t="s">
        <v>23</v>
      </c>
      <c r="J5" s="66" t="s">
        <v>24</v>
      </c>
      <c r="K5" s="64" t="s">
        <v>22</v>
      </c>
      <c r="L5" s="65" t="s">
        <v>23</v>
      </c>
      <c r="M5" s="76" t="s">
        <v>24</v>
      </c>
      <c r="N5" s="77" t="s">
        <v>22</v>
      </c>
      <c r="O5" s="65" t="s">
        <v>23</v>
      </c>
      <c r="P5" s="66" t="s">
        <v>24</v>
      </c>
      <c r="Q5" s="64" t="s">
        <v>22</v>
      </c>
      <c r="R5" s="65" t="s">
        <v>23</v>
      </c>
      <c r="S5" s="76" t="s">
        <v>24</v>
      </c>
      <c r="T5" s="77" t="s">
        <v>22</v>
      </c>
      <c r="U5" s="65" t="s">
        <v>23</v>
      </c>
      <c r="V5" s="66" t="s">
        <v>24</v>
      </c>
    </row>
    <row r="6" spans="2:22" x14ac:dyDescent="0.25">
      <c r="B6" s="67">
        <v>1</v>
      </c>
      <c r="C6" s="52">
        <f>IF(B6&lt;='Input data'!$E$7+'Input data'!$E$45,1,0)*IF(B6&lt;'Input data'!$E$45+1,0,1)</f>
        <v>0</v>
      </c>
      <c r="D6" s="68">
        <f>C6/(1+'Input data'!$E$5/100)^(B6-'Input data'!$E$6)*IF(B6&lt;'Input data'!$E$6,0,1)</f>
        <v>0</v>
      </c>
      <c r="E6" s="67">
        <v>1</v>
      </c>
      <c r="F6" s="52">
        <f>IF(E6&lt;='Input data'!$D$122+'Input data'!$E$45,1,0)*IF(E6&lt;'Input data'!$E$45+1,0,1)</f>
        <v>0</v>
      </c>
      <c r="G6" s="72">
        <f>F6/(1+'Input data'!$E$5/100)^(E6-'Input data'!$E$6)*IF(E6&lt;'Input data'!$E$6,0,1)</f>
        <v>0</v>
      </c>
      <c r="H6" s="78">
        <v>1</v>
      </c>
      <c r="I6" s="52">
        <f>IF(H6&lt;='Input data'!$E$122+'Input data'!$E$45,1,0)*IF('Discount factors'!H6&lt;'Input data'!$E$45+1,0,1)</f>
        <v>0</v>
      </c>
      <c r="J6" s="68">
        <f>I6/(1+'Input data'!$E$5/100)^(H6-'Input data'!$E$6)*IF(H6&lt;'Input data'!$E$6,0,1)</f>
        <v>0</v>
      </c>
      <c r="K6" s="67">
        <v>1</v>
      </c>
      <c r="L6" s="52">
        <f>IF(K6&lt;='Input data'!$E$7+'Input data'!$E$45,1,0)*IF('Discount factors'!K6&lt;'Input data'!$E$45+1,0,1)</f>
        <v>0</v>
      </c>
      <c r="M6" s="72">
        <f>L6/(1+'Input data'!$D$123/100)^(K6-'Input data'!$E$6)*IF(K6&lt;'Input data'!$E$6,0,1)</f>
        <v>0</v>
      </c>
      <c r="N6" s="78">
        <v>1</v>
      </c>
      <c r="O6" s="52">
        <f>IF(N6&lt;='Input data'!$E$7+'Input data'!$E$45,1,0)*IF(N6&lt;'Input data'!$E$45+1,0,1)</f>
        <v>0</v>
      </c>
      <c r="P6" s="68">
        <f>O6/(1+'Input data'!$E$123/100)^(N6-'Input data'!$E$6)*IF(N6&lt;'Input data'!$E$6,0,1)</f>
        <v>0</v>
      </c>
      <c r="Q6" s="67">
        <v>1</v>
      </c>
      <c r="R6" s="52">
        <f>IF(Q6&lt;='Input data'!$E$7+'Input data'!$E$45,1,0)*IF(Q6&lt;'Input data'!$E$45+1,0,'Input data'!$D$124/'Input data'!$E$11)</f>
        <v>0</v>
      </c>
      <c r="S6" s="72">
        <f>R6/(1+'Input data'!$E$5/100)^(Q6-'Input data'!$E$6)*IF(Q6&lt;'Input data'!$E$6,0,1)</f>
        <v>0</v>
      </c>
      <c r="T6" s="78">
        <v>1</v>
      </c>
      <c r="U6" s="52">
        <f>IF(T6&lt;='Input data'!$E$7+'Input data'!$E$45,1,0)*IF(T6&lt;'Input data'!$E$45+1,0,'Input data'!$E$124/'Input data'!$E$11)</f>
        <v>0</v>
      </c>
      <c r="V6" s="68">
        <f>U6/(1+'Input data'!$E$5/100)^(T6-'Input data'!$E$6)*IF(T6&lt;'Input data'!$E$6,0,1)</f>
        <v>0</v>
      </c>
    </row>
    <row r="7" spans="2:22" x14ac:dyDescent="0.25">
      <c r="B7" s="67">
        <f>B6+1</f>
        <v>2</v>
      </c>
      <c r="C7" s="52">
        <f>IF(B7&lt;='Input data'!$E$7+'Input data'!$E$45,1,0)*IF(B7&lt;'Input data'!$E$45+1,0,1)</f>
        <v>0</v>
      </c>
      <c r="D7" s="68">
        <f>C7/(1+'Input data'!$E$5/100)^(B7-'Input data'!$E$6)*IF(B7&lt;'Input data'!$E$6,0,1)</f>
        <v>0</v>
      </c>
      <c r="E7" s="67">
        <f>E6+1</f>
        <v>2</v>
      </c>
      <c r="F7" s="52">
        <f>IF(E7&lt;='Input data'!$D$122+'Input data'!$E$45,1,0)*IF(E7&lt;'Input data'!$E$45+1,0,1)</f>
        <v>0</v>
      </c>
      <c r="G7" s="72">
        <f>F7/(1+'Input data'!$E$5/100)^(E7-'Input data'!$E$6)*IF(E7&lt;'Input data'!$E$6,0,1)</f>
        <v>0</v>
      </c>
      <c r="H7" s="78">
        <f>H6+1</f>
        <v>2</v>
      </c>
      <c r="I7" s="52">
        <f>IF(H7&lt;='Input data'!$E$122+'Input data'!$E$45,1,0)*IF('Discount factors'!H7&lt;'Input data'!$E$45+1,0,1)</f>
        <v>0</v>
      </c>
      <c r="J7" s="68">
        <f>I7/(1+'Input data'!$E$5/100)^(H7-'Input data'!$E$6)*IF(H7&lt;'Input data'!$E$6,0,1)</f>
        <v>0</v>
      </c>
      <c r="K7" s="67">
        <f>K6+1</f>
        <v>2</v>
      </c>
      <c r="L7" s="52">
        <f>IF(K7&lt;='Input data'!$E$7+'Input data'!$E$45,1,0)*IF('Discount factors'!K7&lt;'Input data'!$E$45+1,0,1)</f>
        <v>0</v>
      </c>
      <c r="M7" s="72">
        <f>L7/(1+'Input data'!$D$123/100)^(K7-'Input data'!$E$6)*IF(K7&lt;'Input data'!$E$6,0,1)</f>
        <v>0</v>
      </c>
      <c r="N7" s="78">
        <f>N6+1</f>
        <v>2</v>
      </c>
      <c r="O7" s="52">
        <f>IF(N7&lt;='Input data'!$E$7+'Input data'!$E$45,1,0)*IF(N7&lt;'Input data'!$E$45+1,0,1)</f>
        <v>0</v>
      </c>
      <c r="P7" s="68">
        <f>O7/(1+'Input data'!$E$123/100)^(N7-'Input data'!$E$6)*IF(N7&lt;'Input data'!$E$6,0,1)</f>
        <v>0</v>
      </c>
      <c r="Q7" s="67">
        <f>Q6+1</f>
        <v>2</v>
      </c>
      <c r="R7" s="52">
        <f>IF(Q7&lt;='Input data'!$E$7+'Input data'!$E$45,1,0)*IF(Q7&lt;'Input data'!$E$45+1,0,'Input data'!$D$124/'Input data'!$E$11)</f>
        <v>0</v>
      </c>
      <c r="S7" s="72">
        <f>R7/(1+'Input data'!$E$5/100)^(Q7-'Input data'!$E$6)*IF(Q7&lt;'Input data'!$E$6,0,1)</f>
        <v>0</v>
      </c>
      <c r="T7" s="78">
        <f>T6+1</f>
        <v>2</v>
      </c>
      <c r="U7" s="52">
        <f>IF(T7&lt;='Input data'!$E$7+'Input data'!$E$45,1,0)*IF(T7&lt;'Input data'!$E$45+1,0,'Input data'!$E$124/'Input data'!$E$11)</f>
        <v>0</v>
      </c>
      <c r="V7" s="68">
        <f>U7/(1+'Input data'!$E$5/100)^(T7-'Input data'!$E$6)*IF(T7&lt;'Input data'!$E$6,0,1)</f>
        <v>0</v>
      </c>
    </row>
    <row r="8" spans="2:22" x14ac:dyDescent="0.25">
      <c r="B8" s="67">
        <f t="shared" ref="B8:B29" si="0">B7+1</f>
        <v>3</v>
      </c>
      <c r="C8" s="52">
        <f>IF(B8&lt;='Input data'!$E$7+'Input data'!$E$45,1,0)*IF(B8&lt;'Input data'!$E$45+1,0,1)</f>
        <v>0</v>
      </c>
      <c r="D8" s="68">
        <f>C8/(1+'Input data'!$E$5/100)^(B8-'Input data'!$E$6)*IF(B8&lt;'Input data'!$E$6,0,1)</f>
        <v>0</v>
      </c>
      <c r="E8" s="67">
        <f t="shared" ref="E8:E29" si="1">E7+1</f>
        <v>3</v>
      </c>
      <c r="F8" s="52">
        <f>IF(E8&lt;='Input data'!$D$122+'Input data'!$E$45,1,0)*IF(E8&lt;'Input data'!$E$45+1,0,1)</f>
        <v>0</v>
      </c>
      <c r="G8" s="72">
        <f>F8/(1+'Input data'!$E$5/100)^(E8-'Input data'!$E$6)*IF(E8&lt;'Input data'!$E$6,0,1)</f>
        <v>0</v>
      </c>
      <c r="H8" s="78">
        <f t="shared" ref="H8:H29" si="2">H7+1</f>
        <v>3</v>
      </c>
      <c r="I8" s="52">
        <f>IF(H8&lt;='Input data'!$E$122+'Input data'!$E$45,1,0)*IF('Discount factors'!H8&lt;'Input data'!$E$45+1,0,1)</f>
        <v>0</v>
      </c>
      <c r="J8" s="68">
        <f>I8/(1+'Input data'!$E$5/100)^(H8-'Input data'!$E$6)*IF(H8&lt;'Input data'!$E$6,0,1)</f>
        <v>0</v>
      </c>
      <c r="K8" s="67">
        <f t="shared" ref="K8:K29" si="3">K7+1</f>
        <v>3</v>
      </c>
      <c r="L8" s="52">
        <f>IF(K8&lt;='Input data'!$E$7+'Input data'!$E$45,1,0)*IF('Discount factors'!K8&lt;'Input data'!$E$45+1,0,1)</f>
        <v>0</v>
      </c>
      <c r="M8" s="72">
        <f>L8/(1+'Input data'!$D$123/100)^(K8-'Input data'!$E$6)*IF(K8&lt;'Input data'!$E$6,0,1)</f>
        <v>0</v>
      </c>
      <c r="N8" s="78">
        <f t="shared" ref="N8:N29" si="4">N7+1</f>
        <v>3</v>
      </c>
      <c r="O8" s="52">
        <f>IF(N8&lt;='Input data'!$E$7+'Input data'!$E$45,1,0)*IF(N8&lt;'Input data'!$E$45+1,0,1)</f>
        <v>0</v>
      </c>
      <c r="P8" s="68">
        <f>O8/(1+'Input data'!$E$123/100)^(N8-'Input data'!$E$6)*IF(N8&lt;'Input data'!$E$6,0,1)</f>
        <v>0</v>
      </c>
      <c r="Q8" s="67">
        <f t="shared" ref="Q8:Q29" si="5">Q7+1</f>
        <v>3</v>
      </c>
      <c r="R8" s="52">
        <f>IF(Q8&lt;='Input data'!$E$7+'Input data'!$E$45,1,0)*IF(Q8&lt;'Input data'!$E$45+1,0,'Input data'!$D$124/'Input data'!$E$11)</f>
        <v>0</v>
      </c>
      <c r="S8" s="72">
        <f>R8/(1+'Input data'!$E$5/100)^(Q8-'Input data'!$E$6)*IF(Q8&lt;'Input data'!$E$6,0,1)</f>
        <v>0</v>
      </c>
      <c r="T8" s="78">
        <f t="shared" ref="T8:T29" si="6">T7+1</f>
        <v>3</v>
      </c>
      <c r="U8" s="52">
        <f>IF(T8&lt;='Input data'!$E$7+'Input data'!$E$45,1,0)*IF(T8&lt;'Input data'!$E$45+1,0,'Input data'!$E$124/'Input data'!$E$11)</f>
        <v>0</v>
      </c>
      <c r="V8" s="68">
        <f>U8/(1+'Input data'!$E$5/100)^(T8-'Input data'!$E$6)*IF(T8&lt;'Input data'!$E$6,0,1)</f>
        <v>0</v>
      </c>
    </row>
    <row r="9" spans="2:22" x14ac:dyDescent="0.25">
      <c r="B9" s="67">
        <f t="shared" si="0"/>
        <v>4</v>
      </c>
      <c r="C9" s="52">
        <f>IF(B9&lt;='Input data'!$E$7+'Input data'!$E$45,1,0)*IF(B9&lt;'Input data'!$E$45+1,0,1)</f>
        <v>1</v>
      </c>
      <c r="D9" s="68">
        <f>C9/(1+'Input data'!$E$5/100)^(B9-'Input data'!$E$6)*IF(B9&lt;'Input data'!$E$6,0,1)</f>
        <v>1</v>
      </c>
      <c r="E9" s="67">
        <f t="shared" si="1"/>
        <v>4</v>
      </c>
      <c r="F9" s="52">
        <f>IF(E9&lt;='Input data'!$D$122+'Input data'!$E$45,1,0)*IF(E9&lt;'Input data'!$E$45+1,0,1)</f>
        <v>1</v>
      </c>
      <c r="G9" s="72">
        <f>F9/(1+'Input data'!$E$5/100)^(E9-'Input data'!$E$6)*IF(E9&lt;'Input data'!$E$6,0,1)</f>
        <v>1</v>
      </c>
      <c r="H9" s="78">
        <f t="shared" si="2"/>
        <v>4</v>
      </c>
      <c r="I9" s="52">
        <f>IF(H9&lt;='Input data'!$E$122+'Input data'!$E$45,1,0)*IF('Discount factors'!H9&lt;'Input data'!$E$45+1,0,1)</f>
        <v>1</v>
      </c>
      <c r="J9" s="68">
        <f>I9/(1+'Input data'!$E$5/100)^(H9-'Input data'!$E$6)*IF(H9&lt;'Input data'!$E$6,0,1)</f>
        <v>1</v>
      </c>
      <c r="K9" s="67">
        <f t="shared" si="3"/>
        <v>4</v>
      </c>
      <c r="L9" s="52">
        <f>IF(K9&lt;='Input data'!$E$7+'Input data'!$E$45,1,0)*IF('Discount factors'!K9&lt;'Input data'!$E$45+1,0,1)</f>
        <v>1</v>
      </c>
      <c r="M9" s="72">
        <f>L9/(1+'Input data'!$D$123/100)^(K9-'Input data'!$E$6)*IF(K9&lt;'Input data'!$E$6,0,1)</f>
        <v>1</v>
      </c>
      <c r="N9" s="78">
        <f t="shared" si="4"/>
        <v>4</v>
      </c>
      <c r="O9" s="52">
        <f>IF(N9&lt;='Input data'!$E$7+'Input data'!$E$45,1,0)*IF(N9&lt;'Input data'!$E$45+1,0,1)</f>
        <v>1</v>
      </c>
      <c r="P9" s="68">
        <f>O9/(1+'Input data'!$E$123/100)^(N9-'Input data'!$E$6)*IF(N9&lt;'Input data'!$E$6,0,1)</f>
        <v>1</v>
      </c>
      <c r="Q9" s="67">
        <f t="shared" si="5"/>
        <v>4</v>
      </c>
      <c r="R9" s="74">
        <f>IF(Q9&lt;='Input data'!$E$7+'Input data'!$E$45,1,0)*IF(Q9&lt;'Input data'!$E$45+1,0,'Input data'!$D$124/'Input data'!$E$11)</f>
        <v>0.73000000000000009</v>
      </c>
      <c r="S9" s="72">
        <f>R9/(1+'Input data'!$E$5/100)^(Q9-'Input data'!$E$6)*IF(Q9&lt;'Input data'!$E$6,0,1)</f>
        <v>0.73000000000000009</v>
      </c>
      <c r="T9" s="78">
        <f t="shared" si="6"/>
        <v>4</v>
      </c>
      <c r="U9" s="74">
        <f>IF(T9&lt;='Input data'!$E$7+'Input data'!$E$45,1,0)*IF(T9&lt;'Input data'!$E$45+1,0,'Input data'!$E$124/'Input data'!$E$11)</f>
        <v>1.0428571428571429</v>
      </c>
      <c r="V9" s="68">
        <f>U9/(1+'Input data'!$E$5/100)^(T9-'Input data'!$E$6)*IF(T9&lt;'Input data'!$E$6,0,1)</f>
        <v>1.0428571428571429</v>
      </c>
    </row>
    <row r="10" spans="2:22" x14ac:dyDescent="0.25">
      <c r="B10" s="67">
        <f t="shared" si="0"/>
        <v>5</v>
      </c>
      <c r="C10" s="52">
        <f>IF(B10&lt;='Input data'!$E$7+'Input data'!$E$45,1,0)*IF(B10&lt;'Input data'!$E$45+1,0,1)</f>
        <v>1</v>
      </c>
      <c r="D10" s="68">
        <f>C10/(1+'Input data'!$E$5/100)^(B10-'Input data'!$E$6)*IF(B10&lt;'Input data'!$E$6,0,1)</f>
        <v>0.92592592592592582</v>
      </c>
      <c r="E10" s="67">
        <f t="shared" si="1"/>
        <v>5</v>
      </c>
      <c r="F10" s="52">
        <f>IF(E10&lt;='Input data'!$D$122+'Input data'!$E$45,1,0)*IF(E10&lt;'Input data'!$E$45+1,0,1)</f>
        <v>1</v>
      </c>
      <c r="G10" s="72">
        <f>F10/(1+'Input data'!$E$5/100)^(E10-'Input data'!$E$6)*IF(E10&lt;'Input data'!$E$6,0,1)</f>
        <v>0.92592592592592582</v>
      </c>
      <c r="H10" s="78">
        <f t="shared" si="2"/>
        <v>5</v>
      </c>
      <c r="I10" s="52">
        <f>IF(H10&lt;='Input data'!$E$122+'Input data'!$E$45,1,0)*IF('Discount factors'!H10&lt;'Input data'!$E$45+1,0,1)</f>
        <v>1</v>
      </c>
      <c r="J10" s="68">
        <f>I10/(1+'Input data'!$E$5/100)^(H10-'Input data'!$E$6)*IF(H10&lt;'Input data'!$E$6,0,1)</f>
        <v>0.92592592592592582</v>
      </c>
      <c r="K10" s="67">
        <f t="shared" si="3"/>
        <v>5</v>
      </c>
      <c r="L10" s="52">
        <f>IF(K10&lt;='Input data'!$E$7+'Input data'!$E$45,1,0)*IF('Discount factors'!K10&lt;'Input data'!$E$45+1,0,1)</f>
        <v>1</v>
      </c>
      <c r="M10" s="72">
        <f>L10/(1+'Input data'!$D$123/100)^(K10-'Input data'!$E$6)*IF(K10&lt;'Input data'!$E$6,0,1)</f>
        <v>0.96153846153846145</v>
      </c>
      <c r="N10" s="78">
        <f t="shared" si="4"/>
        <v>5</v>
      </c>
      <c r="O10" s="52">
        <f>IF(N10&lt;='Input data'!$E$7+'Input data'!$E$45,1,0)*IF(N10&lt;'Input data'!$E$45+1,0,1)</f>
        <v>1</v>
      </c>
      <c r="P10" s="68">
        <f>O10/(1+'Input data'!$E$123/100)^(N10-'Input data'!$E$6)*IF(N10&lt;'Input data'!$E$6,0,1)</f>
        <v>0.89285714285714279</v>
      </c>
      <c r="Q10" s="67">
        <f t="shared" si="5"/>
        <v>5</v>
      </c>
      <c r="R10" s="74">
        <f>IF(Q10&lt;='Input data'!$E$7+'Input data'!$E$45,1,0)*IF(Q10&lt;'Input data'!$E$45+1,0,'Input data'!$D$124/'Input data'!$E$11)</f>
        <v>0.73000000000000009</v>
      </c>
      <c r="S10" s="72">
        <f>R10/(1+'Input data'!$E$5/100)^(Q10-'Input data'!$E$6)*IF(Q10&lt;'Input data'!$E$6,0,1)</f>
        <v>0.67592592592592593</v>
      </c>
      <c r="T10" s="78">
        <f t="shared" si="6"/>
        <v>5</v>
      </c>
      <c r="U10" s="74">
        <f>IF(T10&lt;='Input data'!$E$7+'Input data'!$E$45,1,0)*IF(T10&lt;'Input data'!$E$45+1,0,'Input data'!$E$124/'Input data'!$E$11)</f>
        <v>1.0428571428571429</v>
      </c>
      <c r="V10" s="68">
        <f>U10/(1+'Input data'!$E$5/100)^(T10-'Input data'!$E$6)*IF(T10&lt;'Input data'!$E$6,0,1)</f>
        <v>0.96560846560846558</v>
      </c>
    </row>
    <row r="11" spans="2:22" x14ac:dyDescent="0.25">
      <c r="B11" s="67">
        <f t="shared" si="0"/>
        <v>6</v>
      </c>
      <c r="C11" s="52">
        <f>IF(B11&lt;='Input data'!$E$7+'Input data'!$E$45,1,0)*IF(B11&lt;'Input data'!$E$45+1,0,1)</f>
        <v>1</v>
      </c>
      <c r="D11" s="68">
        <f>C11/(1+'Input data'!$E$5/100)^(B11-'Input data'!$E$6)*IF(B11&lt;'Input data'!$E$6,0,1)</f>
        <v>0.85733882030178321</v>
      </c>
      <c r="E11" s="67">
        <f t="shared" si="1"/>
        <v>6</v>
      </c>
      <c r="F11" s="52">
        <f>IF(E11&lt;='Input data'!$D$122+'Input data'!$E$45,1,0)*IF(E11&lt;'Input data'!$E$45+1,0,1)</f>
        <v>1</v>
      </c>
      <c r="G11" s="72">
        <f>F11/(1+'Input data'!$E$5/100)^(E11-'Input data'!$E$6)*IF(E11&lt;'Input data'!$E$6,0,1)</f>
        <v>0.85733882030178321</v>
      </c>
      <c r="H11" s="78">
        <f t="shared" si="2"/>
        <v>6</v>
      </c>
      <c r="I11" s="52">
        <f>IF(H11&lt;='Input data'!$E$122+'Input data'!$E$45,1,0)*IF('Discount factors'!H11&lt;'Input data'!$E$45+1,0,1)</f>
        <v>1</v>
      </c>
      <c r="J11" s="68">
        <f>I11/(1+'Input data'!$E$5/100)^(H11-'Input data'!$E$6)*IF(H11&lt;'Input data'!$E$6,0,1)</f>
        <v>0.85733882030178321</v>
      </c>
      <c r="K11" s="67">
        <f t="shared" si="3"/>
        <v>6</v>
      </c>
      <c r="L11" s="52">
        <f>IF(K11&lt;='Input data'!$E$7+'Input data'!$E$45,1,0)*IF('Discount factors'!K11&lt;'Input data'!$E$45+1,0,1)</f>
        <v>1</v>
      </c>
      <c r="M11" s="72">
        <f>L11/(1+'Input data'!$D$123/100)^(K11-'Input data'!$E$6)*IF(K11&lt;'Input data'!$E$6,0,1)</f>
        <v>0.92455621301775137</v>
      </c>
      <c r="N11" s="78">
        <f t="shared" si="4"/>
        <v>6</v>
      </c>
      <c r="O11" s="52">
        <f>IF(N11&lt;='Input data'!$E$7+'Input data'!$E$45,1,0)*IF(N11&lt;'Input data'!$E$45+1,0,1)</f>
        <v>1</v>
      </c>
      <c r="P11" s="68">
        <f>O11/(1+'Input data'!$E$123/100)^(N11-'Input data'!$E$6)*IF(N11&lt;'Input data'!$E$6,0,1)</f>
        <v>0.79719387755102034</v>
      </c>
      <c r="Q11" s="67">
        <f t="shared" si="5"/>
        <v>6</v>
      </c>
      <c r="R11" s="74">
        <f>IF(Q11&lt;='Input data'!$E$7+'Input data'!$E$45,1,0)*IF(Q11&lt;'Input data'!$E$45+1,0,'Input data'!$D$124/'Input data'!$E$11)</f>
        <v>0.73000000000000009</v>
      </c>
      <c r="S11" s="72">
        <f>R11/(1+'Input data'!$E$5/100)^(Q11-'Input data'!$E$6)*IF(Q11&lt;'Input data'!$E$6,0,1)</f>
        <v>0.62585733882030181</v>
      </c>
      <c r="T11" s="78">
        <f t="shared" si="6"/>
        <v>6</v>
      </c>
      <c r="U11" s="74">
        <f>IF(T11&lt;='Input data'!$E$7+'Input data'!$E$45,1,0)*IF(T11&lt;'Input data'!$E$45+1,0,'Input data'!$E$124/'Input data'!$E$11)</f>
        <v>1.0428571428571429</v>
      </c>
      <c r="V11" s="68">
        <f>U11/(1+'Input data'!$E$5/100)^(T11-'Input data'!$E$6)*IF(T11&lt;'Input data'!$E$6,0,1)</f>
        <v>0.89408191260043113</v>
      </c>
    </row>
    <row r="12" spans="2:22" x14ac:dyDescent="0.25">
      <c r="B12" s="67">
        <f t="shared" si="0"/>
        <v>7</v>
      </c>
      <c r="C12" s="52">
        <f>IF(B12&lt;='Input data'!$E$7+'Input data'!$E$45,1,0)*IF(B12&lt;'Input data'!$E$45+1,0,1)</f>
        <v>1</v>
      </c>
      <c r="D12" s="68">
        <f>C12/(1+'Input data'!$E$5/100)^(B12-'Input data'!$E$6)*IF(B12&lt;'Input data'!$E$6,0,1)</f>
        <v>0.79383224102016958</v>
      </c>
      <c r="E12" s="67">
        <f t="shared" si="1"/>
        <v>7</v>
      </c>
      <c r="F12" s="52">
        <f>IF(E12&lt;='Input data'!$D$122+'Input data'!$E$45,1,0)*IF(E12&lt;'Input data'!$E$45+1,0,1)</f>
        <v>1</v>
      </c>
      <c r="G12" s="72">
        <f>F12/(1+'Input data'!$E$5/100)^(E12-'Input data'!$E$6)*IF(E12&lt;'Input data'!$E$6,0,1)</f>
        <v>0.79383224102016958</v>
      </c>
      <c r="H12" s="78">
        <f t="shared" si="2"/>
        <v>7</v>
      </c>
      <c r="I12" s="52">
        <f>IF(H12&lt;='Input data'!$E$122+'Input data'!$E$45,1,0)*IF('Discount factors'!H12&lt;'Input data'!$E$45+1,0,1)</f>
        <v>1</v>
      </c>
      <c r="J12" s="68">
        <f>I12/(1+'Input data'!$E$5/100)^(H12-'Input data'!$E$6)*IF(H12&lt;'Input data'!$E$6,0,1)</f>
        <v>0.79383224102016958</v>
      </c>
      <c r="K12" s="67">
        <f t="shared" si="3"/>
        <v>7</v>
      </c>
      <c r="L12" s="52">
        <f>IF(K12&lt;='Input data'!$E$7+'Input data'!$E$45,1,0)*IF('Discount factors'!K12&lt;'Input data'!$E$45+1,0,1)</f>
        <v>1</v>
      </c>
      <c r="M12" s="72">
        <f>L12/(1+'Input data'!$D$123/100)^(K12-'Input data'!$E$6)*IF(K12&lt;'Input data'!$E$6,0,1)</f>
        <v>0.88899635867091487</v>
      </c>
      <c r="N12" s="78">
        <f t="shared" si="4"/>
        <v>7</v>
      </c>
      <c r="O12" s="52">
        <f>IF(N12&lt;='Input data'!$E$7+'Input data'!$E$45,1,0)*IF(N12&lt;'Input data'!$E$45+1,0,1)</f>
        <v>1</v>
      </c>
      <c r="P12" s="68">
        <f>O12/(1+'Input data'!$E$123/100)^(N12-'Input data'!$E$6)*IF(N12&lt;'Input data'!$E$6,0,1)</f>
        <v>0.71178024781341087</v>
      </c>
      <c r="Q12" s="67">
        <f t="shared" si="5"/>
        <v>7</v>
      </c>
      <c r="R12" s="74">
        <f>IF(Q12&lt;='Input data'!$E$7+'Input data'!$E$45,1,0)*IF(Q12&lt;'Input data'!$E$45+1,0,'Input data'!$D$124/'Input data'!$E$11)</f>
        <v>0.73000000000000009</v>
      </c>
      <c r="S12" s="72">
        <f>R12/(1+'Input data'!$E$5/100)^(Q12-'Input data'!$E$6)*IF(Q12&lt;'Input data'!$E$6,0,1)</f>
        <v>0.57949753594472386</v>
      </c>
      <c r="T12" s="78">
        <f t="shared" si="6"/>
        <v>7</v>
      </c>
      <c r="U12" s="74">
        <f>IF(T12&lt;='Input data'!$E$7+'Input data'!$E$45,1,0)*IF(T12&lt;'Input data'!$E$45+1,0,'Input data'!$E$124/'Input data'!$E$11)</f>
        <v>1.0428571428571429</v>
      </c>
      <c r="V12" s="68">
        <f>U12/(1+'Input data'!$E$5/100)^(T12-'Input data'!$E$6)*IF(T12&lt;'Input data'!$E$6,0,1)</f>
        <v>0.82785362277817687</v>
      </c>
    </row>
    <row r="13" spans="2:22" x14ac:dyDescent="0.25">
      <c r="B13" s="67">
        <f t="shared" si="0"/>
        <v>8</v>
      </c>
      <c r="C13" s="52">
        <f>IF(B13&lt;='Input data'!$E$7+'Input data'!$E$45,1,0)*IF(B13&lt;'Input data'!$E$45+1,0,1)</f>
        <v>1</v>
      </c>
      <c r="D13" s="68">
        <f>C13/(1+'Input data'!$E$5/100)^(B13-'Input data'!$E$6)*IF(B13&lt;'Input data'!$E$6,0,1)</f>
        <v>0.73502985279645328</v>
      </c>
      <c r="E13" s="67">
        <f t="shared" si="1"/>
        <v>8</v>
      </c>
      <c r="F13" s="52">
        <f>IF(E13&lt;='Input data'!$D$122+'Input data'!$E$45,1,0)*IF(E13&lt;'Input data'!$E$45+1,0,1)</f>
        <v>1</v>
      </c>
      <c r="G13" s="72">
        <f>F13/(1+'Input data'!$E$5/100)^(E13-'Input data'!$E$6)*IF(E13&lt;'Input data'!$E$6,0,1)</f>
        <v>0.73502985279645328</v>
      </c>
      <c r="H13" s="78">
        <f t="shared" si="2"/>
        <v>8</v>
      </c>
      <c r="I13" s="52">
        <f>IF(H13&lt;='Input data'!$E$122+'Input data'!$E$45,1,0)*IF('Discount factors'!H13&lt;'Input data'!$E$45+1,0,1)</f>
        <v>1</v>
      </c>
      <c r="J13" s="68">
        <f>I13/(1+'Input data'!$E$5/100)^(H13-'Input data'!$E$6)*IF(H13&lt;'Input data'!$E$6,0,1)</f>
        <v>0.73502985279645328</v>
      </c>
      <c r="K13" s="67">
        <f t="shared" si="3"/>
        <v>8</v>
      </c>
      <c r="L13" s="52">
        <f>IF(K13&lt;='Input data'!$E$7+'Input data'!$E$45,1,0)*IF('Discount factors'!K13&lt;'Input data'!$E$45+1,0,1)</f>
        <v>1</v>
      </c>
      <c r="M13" s="72">
        <f>L13/(1+'Input data'!$D$123/100)^(K13-'Input data'!$E$6)*IF(K13&lt;'Input data'!$E$6,0,1)</f>
        <v>0.85480419102972571</v>
      </c>
      <c r="N13" s="78">
        <f t="shared" si="4"/>
        <v>8</v>
      </c>
      <c r="O13" s="52">
        <f>IF(N13&lt;='Input data'!$E$7+'Input data'!$E$45,1,0)*IF(N13&lt;'Input data'!$E$45+1,0,1)</f>
        <v>1</v>
      </c>
      <c r="P13" s="68">
        <f>O13/(1+'Input data'!$E$123/100)^(N13-'Input data'!$E$6)*IF(N13&lt;'Input data'!$E$6,0,1)</f>
        <v>0.63551807840483121</v>
      </c>
      <c r="Q13" s="67">
        <f t="shared" si="5"/>
        <v>8</v>
      </c>
      <c r="R13" s="74">
        <f>IF(Q13&lt;='Input data'!$E$7+'Input data'!$E$45,1,0)*IF(Q13&lt;'Input data'!$E$45+1,0,'Input data'!$D$124/'Input data'!$E$11)</f>
        <v>0.73000000000000009</v>
      </c>
      <c r="S13" s="72">
        <f>R13/(1+'Input data'!$E$5/100)^(Q13-'Input data'!$E$6)*IF(Q13&lt;'Input data'!$E$6,0,1)</f>
        <v>0.53657179254141096</v>
      </c>
      <c r="T13" s="78">
        <f t="shared" si="6"/>
        <v>8</v>
      </c>
      <c r="U13" s="74">
        <f>IF(T13&lt;='Input data'!$E$7+'Input data'!$E$45,1,0)*IF(T13&lt;'Input data'!$E$45+1,0,'Input data'!$E$124/'Input data'!$E$11)</f>
        <v>1.0428571428571429</v>
      </c>
      <c r="V13" s="68">
        <f>U13/(1+'Input data'!$E$5/100)^(T13-'Input data'!$E$6)*IF(T13&lt;'Input data'!$E$6,0,1)</f>
        <v>0.76653113220201563</v>
      </c>
    </row>
    <row r="14" spans="2:22" x14ac:dyDescent="0.25">
      <c r="B14" s="67">
        <f t="shared" si="0"/>
        <v>9</v>
      </c>
      <c r="C14" s="52">
        <f>IF(B14&lt;='Input data'!$E$7+'Input data'!$E$45,1,0)*IF(B14&lt;'Input data'!$E$45+1,0,1)</f>
        <v>1</v>
      </c>
      <c r="D14" s="68">
        <f>C14/(1+'Input data'!$E$5/100)^(B14-'Input data'!$E$6)*IF(B14&lt;'Input data'!$E$6,0,1)</f>
        <v>0.68058319703375303</v>
      </c>
      <c r="E14" s="67">
        <f t="shared" si="1"/>
        <v>9</v>
      </c>
      <c r="F14" s="52">
        <f>IF(E14&lt;='Input data'!$D$122+'Input data'!$E$45,1,0)*IF(E14&lt;'Input data'!$E$45+1,0,1)</f>
        <v>1</v>
      </c>
      <c r="G14" s="72">
        <f>F14/(1+'Input data'!$E$5/100)^(E14-'Input data'!$E$6)*IF(E14&lt;'Input data'!$E$6,0,1)</f>
        <v>0.68058319703375303</v>
      </c>
      <c r="H14" s="78">
        <f t="shared" si="2"/>
        <v>9</v>
      </c>
      <c r="I14" s="52">
        <f>IF(H14&lt;='Input data'!$E$122+'Input data'!$E$45,1,0)*IF('Discount factors'!H14&lt;'Input data'!$E$45+1,0,1)</f>
        <v>1</v>
      </c>
      <c r="J14" s="68">
        <f>I14/(1+'Input data'!$E$5/100)^(H14-'Input data'!$E$6)*IF(H14&lt;'Input data'!$E$6,0,1)</f>
        <v>0.68058319703375303</v>
      </c>
      <c r="K14" s="67">
        <f t="shared" si="3"/>
        <v>9</v>
      </c>
      <c r="L14" s="52">
        <f>IF(K14&lt;='Input data'!$E$7+'Input data'!$E$45,1,0)*IF('Discount factors'!K14&lt;'Input data'!$E$45+1,0,1)</f>
        <v>1</v>
      </c>
      <c r="M14" s="72">
        <f>L14/(1+'Input data'!$D$123/100)^(K14-'Input data'!$E$6)*IF(K14&lt;'Input data'!$E$6,0,1)</f>
        <v>0.82192710675935154</v>
      </c>
      <c r="N14" s="78">
        <f t="shared" si="4"/>
        <v>9</v>
      </c>
      <c r="O14" s="52">
        <f>IF(N14&lt;='Input data'!$E$7+'Input data'!$E$45,1,0)*IF(N14&lt;'Input data'!$E$45+1,0,1)</f>
        <v>1</v>
      </c>
      <c r="P14" s="68">
        <f>O14/(1+'Input data'!$E$123/100)^(N14-'Input data'!$E$6)*IF(N14&lt;'Input data'!$E$6,0,1)</f>
        <v>0.56742685571859919</v>
      </c>
      <c r="Q14" s="67">
        <f t="shared" si="5"/>
        <v>9</v>
      </c>
      <c r="R14" s="74">
        <f>IF(Q14&lt;='Input data'!$E$7+'Input data'!$E$45,1,0)*IF(Q14&lt;'Input data'!$E$45+1,0,'Input data'!$D$124/'Input data'!$E$11)</f>
        <v>0.73000000000000009</v>
      </c>
      <c r="S14" s="72">
        <f>R14/(1+'Input data'!$E$5/100)^(Q14-'Input data'!$E$6)*IF(Q14&lt;'Input data'!$E$6,0,1)</f>
        <v>0.49682573383463974</v>
      </c>
      <c r="T14" s="78">
        <f t="shared" si="6"/>
        <v>9</v>
      </c>
      <c r="U14" s="74">
        <f>IF(T14&lt;='Input data'!$E$7+'Input data'!$E$45,1,0)*IF(T14&lt;'Input data'!$E$45+1,0,'Input data'!$E$124/'Input data'!$E$11)</f>
        <v>1.0428571428571429</v>
      </c>
      <c r="V14" s="68">
        <f>U14/(1+'Input data'!$E$5/100)^(T14-'Input data'!$E$6)*IF(T14&lt;'Input data'!$E$6,0,1)</f>
        <v>0.70975104833519964</v>
      </c>
    </row>
    <row r="15" spans="2:22" x14ac:dyDescent="0.25">
      <c r="B15" s="67">
        <f t="shared" si="0"/>
        <v>10</v>
      </c>
      <c r="C15" s="52">
        <f>IF(B15&lt;='Input data'!$E$7+'Input data'!$E$45,1,0)*IF(B15&lt;'Input data'!$E$45+1,0,1)</f>
        <v>1</v>
      </c>
      <c r="D15" s="68">
        <f>C15/(1+'Input data'!$E$5/100)^(B15-'Input data'!$E$6)*IF(B15&lt;'Input data'!$E$6,0,1)</f>
        <v>0.63016962688310452</v>
      </c>
      <c r="E15" s="67">
        <f t="shared" si="1"/>
        <v>10</v>
      </c>
      <c r="F15" s="52">
        <f>IF(E15&lt;='Input data'!$D$122+'Input data'!$E$45,1,0)*IF(E15&lt;'Input data'!$E$45+1,0,1)</f>
        <v>1</v>
      </c>
      <c r="G15" s="72">
        <f>F15/(1+'Input data'!$E$5/100)^(E15-'Input data'!$E$6)*IF(E15&lt;'Input data'!$E$6,0,1)</f>
        <v>0.63016962688310452</v>
      </c>
      <c r="H15" s="78">
        <f t="shared" si="2"/>
        <v>10</v>
      </c>
      <c r="I15" s="52">
        <f>IF(H15&lt;='Input data'!$E$122+'Input data'!$E$45,1,0)*IF('Discount factors'!H15&lt;'Input data'!$E$45+1,0,1)</f>
        <v>1</v>
      </c>
      <c r="J15" s="68">
        <f>I15/(1+'Input data'!$E$5/100)^(H15-'Input data'!$E$6)*IF(H15&lt;'Input data'!$E$6,0,1)</f>
        <v>0.63016962688310452</v>
      </c>
      <c r="K15" s="67">
        <f t="shared" si="3"/>
        <v>10</v>
      </c>
      <c r="L15" s="52">
        <f>IF(K15&lt;='Input data'!$E$7+'Input data'!$E$45,1,0)*IF('Discount factors'!K15&lt;'Input data'!$E$45+1,0,1)</f>
        <v>1</v>
      </c>
      <c r="M15" s="72">
        <f>L15/(1+'Input data'!$D$123/100)^(K15-'Input data'!$E$6)*IF(K15&lt;'Input data'!$E$6,0,1)</f>
        <v>0.79031452573014571</v>
      </c>
      <c r="N15" s="78">
        <f t="shared" si="4"/>
        <v>10</v>
      </c>
      <c r="O15" s="52">
        <f>IF(N15&lt;='Input data'!$E$7+'Input data'!$E$45,1,0)*IF(N15&lt;'Input data'!$E$45+1,0,1)</f>
        <v>1</v>
      </c>
      <c r="P15" s="68">
        <f>O15/(1+'Input data'!$E$123/100)^(N15-'Input data'!$E$6)*IF(N15&lt;'Input data'!$E$6,0,1)</f>
        <v>0.50663112117732068</v>
      </c>
      <c r="Q15" s="67">
        <f t="shared" si="5"/>
        <v>10</v>
      </c>
      <c r="R15" s="74">
        <f>IF(Q15&lt;='Input data'!$E$7+'Input data'!$E$45,1,0)*IF(Q15&lt;'Input data'!$E$45+1,0,'Input data'!$D$124/'Input data'!$E$11)</f>
        <v>0.73000000000000009</v>
      </c>
      <c r="S15" s="72">
        <f>R15/(1+'Input data'!$E$5/100)^(Q15-'Input data'!$E$6)*IF(Q15&lt;'Input data'!$E$6,0,1)</f>
        <v>0.46002382762466637</v>
      </c>
      <c r="T15" s="78">
        <f t="shared" si="6"/>
        <v>10</v>
      </c>
      <c r="U15" s="74">
        <f>IF(T15&lt;='Input data'!$E$7+'Input data'!$E$45,1,0)*IF(T15&lt;'Input data'!$E$45+1,0,'Input data'!$E$124/'Input data'!$E$11)</f>
        <v>1.0428571428571429</v>
      </c>
      <c r="V15" s="68">
        <f>U15/(1+'Input data'!$E$5/100)^(T15-'Input data'!$E$6)*IF(T15&lt;'Input data'!$E$6,0,1)</f>
        <v>0.65717689660666623</v>
      </c>
    </row>
    <row r="16" spans="2:22" x14ac:dyDescent="0.25">
      <c r="B16" s="67">
        <f t="shared" si="0"/>
        <v>11</v>
      </c>
      <c r="C16" s="52">
        <f>IF(B16&lt;='Input data'!$E$7+'Input data'!$E$45,1,0)*IF(B16&lt;'Input data'!$E$45+1,0,1)</f>
        <v>1</v>
      </c>
      <c r="D16" s="68">
        <f>C16/(1+'Input data'!$E$5/100)^(B16-'Input data'!$E$6)*IF(B16&lt;'Input data'!$E$6,0,1)</f>
        <v>0.58349039526213387</v>
      </c>
      <c r="E16" s="67">
        <f t="shared" si="1"/>
        <v>11</v>
      </c>
      <c r="F16" s="52">
        <f>IF(E16&lt;='Input data'!$D$122+'Input data'!$E$45,1,0)*IF(E16&lt;'Input data'!$E$45+1,0,1)</f>
        <v>1</v>
      </c>
      <c r="G16" s="72">
        <f>F16/(1+'Input data'!$E$5/100)^(E16-'Input data'!$E$6)*IF(E16&lt;'Input data'!$E$6,0,1)</f>
        <v>0.58349039526213387</v>
      </c>
      <c r="H16" s="78">
        <f t="shared" si="2"/>
        <v>11</v>
      </c>
      <c r="I16" s="52">
        <f>IF(H16&lt;='Input data'!$E$122+'Input data'!$E$45,1,0)*IF('Discount factors'!H16&lt;'Input data'!$E$45+1,0,1)</f>
        <v>1</v>
      </c>
      <c r="J16" s="68">
        <f>I16/(1+'Input data'!$E$5/100)^(H16-'Input data'!$E$6)*IF(H16&lt;'Input data'!$E$6,0,1)</f>
        <v>0.58349039526213387</v>
      </c>
      <c r="K16" s="67">
        <f t="shared" si="3"/>
        <v>11</v>
      </c>
      <c r="L16" s="52">
        <f>IF(K16&lt;='Input data'!$E$7+'Input data'!$E$45,1,0)*IF('Discount factors'!K16&lt;'Input data'!$E$45+1,0,1)</f>
        <v>1</v>
      </c>
      <c r="M16" s="72">
        <f>L16/(1+'Input data'!$D$123/100)^(K16-'Input data'!$E$6)*IF(K16&lt;'Input data'!$E$6,0,1)</f>
        <v>0.75991781320206331</v>
      </c>
      <c r="N16" s="78">
        <f t="shared" si="4"/>
        <v>11</v>
      </c>
      <c r="O16" s="52">
        <f>IF(N16&lt;='Input data'!$E$7+'Input data'!$E$45,1,0)*IF(N16&lt;'Input data'!$E$45+1,0,1)</f>
        <v>1</v>
      </c>
      <c r="P16" s="68">
        <f>O16/(1+'Input data'!$E$123/100)^(N16-'Input data'!$E$6)*IF(N16&lt;'Input data'!$E$6,0,1)</f>
        <v>0.45234921533689343</v>
      </c>
      <c r="Q16" s="67">
        <f t="shared" si="5"/>
        <v>11</v>
      </c>
      <c r="R16" s="74">
        <f>IF(Q16&lt;='Input data'!$E$7+'Input data'!$E$45,1,0)*IF(Q16&lt;'Input data'!$E$45+1,0,'Input data'!$D$124/'Input data'!$E$11)</f>
        <v>0.73000000000000009</v>
      </c>
      <c r="S16" s="72">
        <f>R16/(1+'Input data'!$E$5/100)^(Q16-'Input data'!$E$6)*IF(Q16&lt;'Input data'!$E$6,0,1)</f>
        <v>0.42594798854135774</v>
      </c>
      <c r="T16" s="78">
        <f t="shared" si="6"/>
        <v>11</v>
      </c>
      <c r="U16" s="74">
        <f>IF(T16&lt;='Input data'!$E$7+'Input data'!$E$45,1,0)*IF(T16&lt;'Input data'!$E$45+1,0,'Input data'!$E$124/'Input data'!$E$11)</f>
        <v>1.0428571428571429</v>
      </c>
      <c r="V16" s="68">
        <f>U16/(1+'Input data'!$E$5/100)^(T16-'Input data'!$E$6)*IF(T16&lt;'Input data'!$E$6,0,1)</f>
        <v>0.60849712648765386</v>
      </c>
    </row>
    <row r="17" spans="2:22" x14ac:dyDescent="0.25">
      <c r="B17" s="67">
        <f t="shared" si="0"/>
        <v>12</v>
      </c>
      <c r="C17" s="52">
        <f>IF(B17&lt;='Input data'!$E$7+'Input data'!$E$45,1,0)*IF(B17&lt;'Input data'!$E$45+1,0,1)</f>
        <v>1</v>
      </c>
      <c r="D17" s="68">
        <f>C17/(1+'Input data'!$E$5/100)^(B17-'Input data'!$E$6)*IF(B17&lt;'Input data'!$E$6,0,1)</f>
        <v>0.54026888450197574</v>
      </c>
      <c r="E17" s="67">
        <f t="shared" si="1"/>
        <v>12</v>
      </c>
      <c r="F17" s="52">
        <f>IF(E17&lt;='Input data'!$D$122+'Input data'!$E$45,1,0)*IF(E17&lt;'Input data'!$E$45+1,0,1)</f>
        <v>1</v>
      </c>
      <c r="G17" s="72">
        <f>F17/(1+'Input data'!$E$5/100)^(E17-'Input data'!$E$6)*IF(E17&lt;'Input data'!$E$6,0,1)</f>
        <v>0.54026888450197574</v>
      </c>
      <c r="H17" s="78">
        <f t="shared" si="2"/>
        <v>12</v>
      </c>
      <c r="I17" s="52">
        <f>IF(H17&lt;='Input data'!$E$122+'Input data'!$E$45,1,0)*IF('Discount factors'!H17&lt;'Input data'!$E$45+1,0,1)</f>
        <v>1</v>
      </c>
      <c r="J17" s="68">
        <f>I17/(1+'Input data'!$E$5/100)^(H17-'Input data'!$E$6)*IF(H17&lt;'Input data'!$E$6,0,1)</f>
        <v>0.54026888450197574</v>
      </c>
      <c r="K17" s="67">
        <f t="shared" si="3"/>
        <v>12</v>
      </c>
      <c r="L17" s="52">
        <f>IF(K17&lt;='Input data'!$E$7+'Input data'!$E$45,1,0)*IF('Discount factors'!K17&lt;'Input data'!$E$45+1,0,1)</f>
        <v>1</v>
      </c>
      <c r="M17" s="72">
        <f>L17/(1+'Input data'!$D$123/100)^(K17-'Input data'!$E$6)*IF(K17&lt;'Input data'!$E$6,0,1)</f>
        <v>0.73069020500198378</v>
      </c>
      <c r="N17" s="78">
        <f t="shared" si="4"/>
        <v>12</v>
      </c>
      <c r="O17" s="52">
        <f>IF(N17&lt;='Input data'!$E$7+'Input data'!$E$45,1,0)*IF(N17&lt;'Input data'!$E$45+1,0,1)</f>
        <v>1</v>
      </c>
      <c r="P17" s="68">
        <f>O17/(1+'Input data'!$E$123/100)^(N17-'Input data'!$E$6)*IF(N17&lt;'Input data'!$E$6,0,1)</f>
        <v>0.4038832279793691</v>
      </c>
      <c r="Q17" s="67">
        <f t="shared" si="5"/>
        <v>12</v>
      </c>
      <c r="R17" s="74">
        <f>IF(Q17&lt;='Input data'!$E$7+'Input data'!$E$45,1,0)*IF(Q17&lt;'Input data'!$E$45+1,0,'Input data'!$D$124/'Input data'!$E$11)</f>
        <v>0.73000000000000009</v>
      </c>
      <c r="S17" s="72">
        <f>R17/(1+'Input data'!$E$5/100)^(Q17-'Input data'!$E$6)*IF(Q17&lt;'Input data'!$E$6,0,1)</f>
        <v>0.39439628568644236</v>
      </c>
      <c r="T17" s="78">
        <f t="shared" si="6"/>
        <v>12</v>
      </c>
      <c r="U17" s="74">
        <f>IF(T17&lt;='Input data'!$E$7+'Input data'!$E$45,1,0)*IF(T17&lt;'Input data'!$E$45+1,0,'Input data'!$E$124/'Input data'!$E$11)</f>
        <v>1.0428571428571429</v>
      </c>
      <c r="V17" s="68">
        <f>U17/(1+'Input data'!$E$5/100)^(T17-'Input data'!$E$6)*IF(T17&lt;'Input data'!$E$6,0,1)</f>
        <v>0.56342326526634623</v>
      </c>
    </row>
    <row r="18" spans="2:22" x14ac:dyDescent="0.25">
      <c r="B18" s="67">
        <f t="shared" si="0"/>
        <v>13</v>
      </c>
      <c r="C18" s="52">
        <f>IF(B18&lt;='Input data'!$E$7+'Input data'!$E$45,1,0)*IF(B18&lt;'Input data'!$E$45+1,0,1)</f>
        <v>1</v>
      </c>
      <c r="D18" s="68">
        <f>C18/(1+'Input data'!$E$5/100)^(B18-'Input data'!$E$6)*IF(B18&lt;'Input data'!$E$6,0,1)</f>
        <v>0.50024896713145905</v>
      </c>
      <c r="E18" s="67">
        <f t="shared" si="1"/>
        <v>13</v>
      </c>
      <c r="F18" s="52">
        <f>IF(E18&lt;='Input data'!$D$122+'Input data'!$E$45,1,0)*IF(E18&lt;'Input data'!$E$45+1,0,1)</f>
        <v>1</v>
      </c>
      <c r="G18" s="72">
        <f>F18/(1+'Input data'!$E$5/100)^(E18-'Input data'!$E$6)*IF(E18&lt;'Input data'!$E$6,0,1)</f>
        <v>0.50024896713145905</v>
      </c>
      <c r="H18" s="78">
        <f t="shared" si="2"/>
        <v>13</v>
      </c>
      <c r="I18" s="52">
        <f>IF(H18&lt;='Input data'!$E$122+'Input data'!$E$45,1,0)*IF('Discount factors'!H18&lt;'Input data'!$E$45+1,0,1)</f>
        <v>1</v>
      </c>
      <c r="J18" s="68">
        <f>I18/(1+'Input data'!$E$5/100)^(H18-'Input data'!$E$6)*IF(H18&lt;'Input data'!$E$6,0,1)</f>
        <v>0.50024896713145905</v>
      </c>
      <c r="K18" s="67">
        <f t="shared" si="3"/>
        <v>13</v>
      </c>
      <c r="L18" s="52">
        <f>IF(K18&lt;='Input data'!$E$7+'Input data'!$E$45,1,0)*IF('Discount factors'!K18&lt;'Input data'!$E$45+1,0,1)</f>
        <v>1</v>
      </c>
      <c r="M18" s="72">
        <f>L18/(1+'Input data'!$D$123/100)^(K18-'Input data'!$E$6)*IF(K18&lt;'Input data'!$E$6,0,1)</f>
        <v>0.70258673557883045</v>
      </c>
      <c r="N18" s="78">
        <f t="shared" si="4"/>
        <v>13</v>
      </c>
      <c r="O18" s="52">
        <f>IF(N18&lt;='Input data'!$E$7+'Input data'!$E$45,1,0)*IF(N18&lt;'Input data'!$E$45+1,0,1)</f>
        <v>1</v>
      </c>
      <c r="P18" s="68">
        <f>O18/(1+'Input data'!$E$123/100)^(N18-'Input data'!$E$6)*IF(N18&lt;'Input data'!$E$6,0,1)</f>
        <v>0.36061002498157957</v>
      </c>
      <c r="Q18" s="67">
        <f t="shared" si="5"/>
        <v>13</v>
      </c>
      <c r="R18" s="74">
        <f>IF(Q18&lt;='Input data'!$E$7+'Input data'!$E$45,1,0)*IF(Q18&lt;'Input data'!$E$45+1,0,'Input data'!$D$124/'Input data'!$E$11)</f>
        <v>0.73000000000000009</v>
      </c>
      <c r="S18" s="72">
        <f>R18/(1+'Input data'!$E$5/100)^(Q18-'Input data'!$E$6)*IF(Q18&lt;'Input data'!$E$6,0,1)</f>
        <v>0.36518174600596515</v>
      </c>
      <c r="T18" s="78">
        <f t="shared" si="6"/>
        <v>13</v>
      </c>
      <c r="U18" s="74">
        <f>IF(T18&lt;='Input data'!$E$7+'Input data'!$E$45,1,0)*IF(T18&lt;'Input data'!$E$45+1,0,'Input data'!$E$124/'Input data'!$E$11)</f>
        <v>1.0428571428571429</v>
      </c>
      <c r="V18" s="68">
        <f>U18/(1+'Input data'!$E$5/100)^(T18-'Input data'!$E$6)*IF(T18&lt;'Input data'!$E$6,0,1)</f>
        <v>0.52168820857995013</v>
      </c>
    </row>
    <row r="19" spans="2:22" x14ac:dyDescent="0.25">
      <c r="B19" s="67">
        <f t="shared" si="0"/>
        <v>14</v>
      </c>
      <c r="C19" s="52">
        <f>IF(B19&lt;='Input data'!$E$7+'Input data'!$E$45,1,0)*IF(B19&lt;'Input data'!$E$45+1,0,1)</f>
        <v>1</v>
      </c>
      <c r="D19" s="68">
        <f>C19/(1+'Input data'!$E$5/100)^(B19-'Input data'!$E$6)*IF(B19&lt;'Input data'!$E$6,0,1)</f>
        <v>0.46319348808468425</v>
      </c>
      <c r="E19" s="67">
        <f t="shared" si="1"/>
        <v>14</v>
      </c>
      <c r="F19" s="52">
        <f>IF(E19&lt;='Input data'!$D$122+'Input data'!$E$45,1,0)*IF(E19&lt;'Input data'!$E$45+1,0,1)</f>
        <v>0</v>
      </c>
      <c r="G19" s="72">
        <f>F19/(1+'Input data'!$E$5/100)^(E19-'Input data'!$E$6)*IF(E19&lt;'Input data'!$E$6,0,1)</f>
        <v>0</v>
      </c>
      <c r="H19" s="78">
        <f t="shared" si="2"/>
        <v>14</v>
      </c>
      <c r="I19" s="52">
        <f>IF(H19&lt;='Input data'!$E$122+'Input data'!$E$45,1,0)*IF('Discount factors'!H19&lt;'Input data'!$E$45+1,0,1)</f>
        <v>1</v>
      </c>
      <c r="J19" s="68">
        <f>I19/(1+'Input data'!$E$5/100)^(H19-'Input data'!$E$6)*IF(H19&lt;'Input data'!$E$6,0,1)</f>
        <v>0.46319348808468425</v>
      </c>
      <c r="K19" s="67">
        <f t="shared" si="3"/>
        <v>14</v>
      </c>
      <c r="L19" s="52">
        <f>IF(K19&lt;='Input data'!$E$7+'Input data'!$E$45,1,0)*IF('Discount factors'!K19&lt;'Input data'!$E$45+1,0,1)</f>
        <v>1</v>
      </c>
      <c r="M19" s="72">
        <f>L19/(1+'Input data'!$D$123/100)^(K19-'Input data'!$E$6)*IF(K19&lt;'Input data'!$E$6,0,1)</f>
        <v>0.67556416882579851</v>
      </c>
      <c r="N19" s="78">
        <f t="shared" si="4"/>
        <v>14</v>
      </c>
      <c r="O19" s="52">
        <f>IF(N19&lt;='Input data'!$E$7+'Input data'!$E$45,1,0)*IF(N19&lt;'Input data'!$E$45+1,0,1)</f>
        <v>1</v>
      </c>
      <c r="P19" s="68">
        <f>O19/(1+'Input data'!$E$123/100)^(N19-'Input data'!$E$6)*IF(N19&lt;'Input data'!$E$6,0,1)</f>
        <v>0.32197323659069599</v>
      </c>
      <c r="Q19" s="67">
        <f t="shared" si="5"/>
        <v>14</v>
      </c>
      <c r="R19" s="74">
        <f>IF(Q19&lt;='Input data'!$E$7+'Input data'!$E$45,1,0)*IF(Q19&lt;'Input data'!$E$45+1,0,'Input data'!$D$124/'Input data'!$E$11)</f>
        <v>0.73000000000000009</v>
      </c>
      <c r="S19" s="72">
        <f>R19/(1+'Input data'!$E$5/100)^(Q19-'Input data'!$E$6)*IF(Q19&lt;'Input data'!$E$6,0,1)</f>
        <v>0.33813124630181957</v>
      </c>
      <c r="T19" s="78">
        <f t="shared" si="6"/>
        <v>14</v>
      </c>
      <c r="U19" s="74">
        <f>IF(T19&lt;='Input data'!$E$7+'Input data'!$E$45,1,0)*IF(T19&lt;'Input data'!$E$45+1,0,'Input data'!$E$124/'Input data'!$E$11)</f>
        <v>1.0428571428571429</v>
      </c>
      <c r="V19" s="68">
        <f>U19/(1+'Input data'!$E$5/100)^(T19-'Input data'!$E$6)*IF(T19&lt;'Input data'!$E$6,0,1)</f>
        <v>0.48304463757402788</v>
      </c>
    </row>
    <row r="20" spans="2:22" x14ac:dyDescent="0.25">
      <c r="B20" s="67">
        <f t="shared" si="0"/>
        <v>15</v>
      </c>
      <c r="C20" s="52">
        <f>IF(B20&lt;='Input data'!$E$7+'Input data'!$E$45,1,0)*IF(B20&lt;'Input data'!$E$45+1,0,1)</f>
        <v>1</v>
      </c>
      <c r="D20" s="68">
        <f>C20/(1+'Input data'!$E$5/100)^(B20-'Input data'!$E$6)*IF(B20&lt;'Input data'!$E$6,0,1)</f>
        <v>0.42888285933767062</v>
      </c>
      <c r="E20" s="67">
        <f t="shared" si="1"/>
        <v>15</v>
      </c>
      <c r="F20" s="52">
        <f>IF(E20&lt;='Input data'!$D$122+'Input data'!$E$45,1,0)*IF(E20&lt;'Input data'!$E$45+1,0,1)</f>
        <v>0</v>
      </c>
      <c r="G20" s="72">
        <f>F20/(1+'Input data'!$E$5/100)^(E20-'Input data'!$E$6)*IF(E20&lt;'Input data'!$E$6,0,1)</f>
        <v>0</v>
      </c>
      <c r="H20" s="78">
        <f t="shared" si="2"/>
        <v>15</v>
      </c>
      <c r="I20" s="52">
        <f>IF(H20&lt;='Input data'!$E$122+'Input data'!$E$45,1,0)*IF('Discount factors'!H20&lt;'Input data'!$E$45+1,0,1)</f>
        <v>1</v>
      </c>
      <c r="J20" s="68">
        <f>I20/(1+'Input data'!$E$5/100)^(H20-'Input data'!$E$6)*IF(H20&lt;'Input data'!$E$6,0,1)</f>
        <v>0.42888285933767062</v>
      </c>
      <c r="K20" s="67">
        <f t="shared" si="3"/>
        <v>15</v>
      </c>
      <c r="L20" s="52">
        <f>IF(K20&lt;='Input data'!$E$7+'Input data'!$E$45,1,0)*IF('Discount factors'!K20&lt;'Input data'!$E$45+1,0,1)</f>
        <v>1</v>
      </c>
      <c r="M20" s="72">
        <f>L20/(1+'Input data'!$D$123/100)^(K20-'Input data'!$E$6)*IF(K20&lt;'Input data'!$E$6,0,1)</f>
        <v>0.6495809315632679</v>
      </c>
      <c r="N20" s="78">
        <f t="shared" si="4"/>
        <v>15</v>
      </c>
      <c r="O20" s="52">
        <f>IF(N20&lt;='Input data'!$E$7+'Input data'!$E$45,1,0)*IF(N20&lt;'Input data'!$E$45+1,0,1)</f>
        <v>1</v>
      </c>
      <c r="P20" s="68">
        <f>O20/(1+'Input data'!$E$123/100)^(N20-'Input data'!$E$6)*IF(N20&lt;'Input data'!$E$6,0,1)</f>
        <v>0.28747610409883567</v>
      </c>
      <c r="Q20" s="67">
        <f t="shared" si="5"/>
        <v>15</v>
      </c>
      <c r="R20" s="74">
        <f>IF(Q20&lt;='Input data'!$E$7+'Input data'!$E$45,1,0)*IF(Q20&lt;'Input data'!$E$45+1,0,'Input data'!$D$124/'Input data'!$E$11)</f>
        <v>0.73000000000000009</v>
      </c>
      <c r="S20" s="72">
        <f>R20/(1+'Input data'!$E$5/100)^(Q20-'Input data'!$E$6)*IF(Q20&lt;'Input data'!$E$6,0,1)</f>
        <v>0.31308448731649957</v>
      </c>
      <c r="T20" s="78">
        <f t="shared" si="6"/>
        <v>15</v>
      </c>
      <c r="U20" s="74">
        <f>IF(T20&lt;='Input data'!$E$7+'Input data'!$E$45,1,0)*IF(T20&lt;'Input data'!$E$45+1,0,'Input data'!$E$124/'Input data'!$E$11)</f>
        <v>1.0428571428571429</v>
      </c>
      <c r="V20" s="68">
        <f>U20/(1+'Input data'!$E$5/100)^(T20-'Input data'!$E$6)*IF(T20&lt;'Input data'!$E$6,0,1)</f>
        <v>0.44726355330928508</v>
      </c>
    </row>
    <row r="21" spans="2:22" x14ac:dyDescent="0.25">
      <c r="B21" s="67">
        <f t="shared" si="0"/>
        <v>16</v>
      </c>
      <c r="C21" s="52">
        <f>IF(B21&lt;='Input data'!$E$7+'Input data'!$E$45,1,0)*IF(B21&lt;'Input data'!$E$45+1,0,1)</f>
        <v>1</v>
      </c>
      <c r="D21" s="68">
        <f>C21/(1+'Input data'!$E$5/100)^(B21-'Input data'!$E$6)*IF(B21&lt;'Input data'!$E$6,0,1)</f>
        <v>0.39711375864599124</v>
      </c>
      <c r="E21" s="67">
        <f t="shared" si="1"/>
        <v>16</v>
      </c>
      <c r="F21" s="52">
        <f>IF(E21&lt;='Input data'!$D$122+'Input data'!$E$45,1,0)*IF(E21&lt;'Input data'!$E$45+1,0,1)</f>
        <v>0</v>
      </c>
      <c r="G21" s="72">
        <f>F21/(1+'Input data'!$E$5/100)^(E21-'Input data'!$E$6)*IF(E21&lt;'Input data'!$E$6,0,1)</f>
        <v>0</v>
      </c>
      <c r="H21" s="78">
        <f t="shared" si="2"/>
        <v>16</v>
      </c>
      <c r="I21" s="52">
        <f>IF(H21&lt;='Input data'!$E$122+'Input data'!$E$45,1,0)*IF('Discount factors'!H21&lt;'Input data'!$E$45+1,0,1)</f>
        <v>1</v>
      </c>
      <c r="J21" s="68">
        <f>I21/(1+'Input data'!$E$5/100)^(H21-'Input data'!$E$6)*IF(H21&lt;'Input data'!$E$6,0,1)</f>
        <v>0.39711375864599124</v>
      </c>
      <c r="K21" s="67">
        <f t="shared" si="3"/>
        <v>16</v>
      </c>
      <c r="L21" s="52">
        <f>IF(K21&lt;='Input data'!$E$7+'Input data'!$E$45,1,0)*IF('Discount factors'!K21&lt;'Input data'!$E$45+1,0,1)</f>
        <v>1</v>
      </c>
      <c r="M21" s="72">
        <f>L21/(1+'Input data'!$D$123/100)^(K21-'Input data'!$E$6)*IF(K21&lt;'Input data'!$E$6,0,1)</f>
        <v>0.62459704958006512</v>
      </c>
      <c r="N21" s="78">
        <f t="shared" si="4"/>
        <v>16</v>
      </c>
      <c r="O21" s="52">
        <f>IF(N21&lt;='Input data'!$E$7+'Input data'!$E$45,1,0)*IF(N21&lt;'Input data'!$E$45+1,0,1)</f>
        <v>1</v>
      </c>
      <c r="P21" s="68">
        <f>O21/(1+'Input data'!$E$123/100)^(N21-'Input data'!$E$6)*IF(N21&lt;'Input data'!$E$6,0,1)</f>
        <v>0.25667509294538904</v>
      </c>
      <c r="Q21" s="67">
        <f t="shared" si="5"/>
        <v>16</v>
      </c>
      <c r="R21" s="74">
        <f>IF(Q21&lt;='Input data'!$E$7+'Input data'!$E$45,1,0)*IF(Q21&lt;'Input data'!$E$45+1,0,'Input data'!$D$124/'Input data'!$E$11)</f>
        <v>0.73000000000000009</v>
      </c>
      <c r="S21" s="72">
        <f>R21/(1+'Input data'!$E$5/100)^(Q21-'Input data'!$E$6)*IF(Q21&lt;'Input data'!$E$6,0,1)</f>
        <v>0.28989304381157366</v>
      </c>
      <c r="T21" s="78">
        <f t="shared" si="6"/>
        <v>16</v>
      </c>
      <c r="U21" s="74">
        <f>IF(T21&lt;='Input data'!$E$7+'Input data'!$E$45,1,0)*IF(T21&lt;'Input data'!$E$45+1,0,'Input data'!$E$124/'Input data'!$E$11)</f>
        <v>1.0428571428571429</v>
      </c>
      <c r="V21" s="68">
        <f>U21/(1+'Input data'!$E$5/100)^(T21-'Input data'!$E$6)*IF(T21&lt;'Input data'!$E$6,0,1)</f>
        <v>0.4141329197308195</v>
      </c>
    </row>
    <row r="22" spans="2:22" x14ac:dyDescent="0.25">
      <c r="B22" s="67">
        <f t="shared" si="0"/>
        <v>17</v>
      </c>
      <c r="C22" s="52">
        <f>IF(B22&lt;='Input data'!$E$7+'Input data'!$E$45,1,0)*IF(B22&lt;'Input data'!$E$45+1,0,1)</f>
        <v>1</v>
      </c>
      <c r="D22" s="68">
        <f>C22/(1+'Input data'!$E$5/100)^(B22-'Input data'!$E$6)*IF(B22&lt;'Input data'!$E$6,0,1)</f>
        <v>0.36769792467221413</v>
      </c>
      <c r="E22" s="67">
        <f t="shared" si="1"/>
        <v>17</v>
      </c>
      <c r="F22" s="52">
        <f>IF(E22&lt;='Input data'!$D$122+'Input data'!$E$45,1,0)*IF(E22&lt;'Input data'!$E$45+1,0,1)</f>
        <v>0</v>
      </c>
      <c r="G22" s="72">
        <f>F22/(1+'Input data'!$E$5/100)^(E22-'Input data'!$E$6)*IF(E22&lt;'Input data'!$E$6,0,1)</f>
        <v>0</v>
      </c>
      <c r="H22" s="78">
        <f t="shared" si="2"/>
        <v>17</v>
      </c>
      <c r="I22" s="52">
        <f>IF(H22&lt;='Input data'!$E$122+'Input data'!$E$45,1,0)*IF('Discount factors'!H22&lt;'Input data'!$E$45+1,0,1)</f>
        <v>1</v>
      </c>
      <c r="J22" s="68">
        <f>I22/(1+'Input data'!$E$5/100)^(H22-'Input data'!$E$6)*IF(H22&lt;'Input data'!$E$6,0,1)</f>
        <v>0.36769792467221413</v>
      </c>
      <c r="K22" s="67">
        <f t="shared" si="3"/>
        <v>17</v>
      </c>
      <c r="L22" s="52">
        <f>IF(K22&lt;='Input data'!$E$7+'Input data'!$E$45,1,0)*IF('Discount factors'!K22&lt;'Input data'!$E$45+1,0,1)</f>
        <v>1</v>
      </c>
      <c r="M22" s="72">
        <f>L22/(1+'Input data'!$D$123/100)^(K22-'Input data'!$E$6)*IF(K22&lt;'Input data'!$E$6,0,1)</f>
        <v>0.600574086134678</v>
      </c>
      <c r="N22" s="78">
        <f t="shared" si="4"/>
        <v>17</v>
      </c>
      <c r="O22" s="52">
        <f>IF(N22&lt;='Input data'!$E$7+'Input data'!$E$45,1,0)*IF(N22&lt;'Input data'!$E$45+1,0,1)</f>
        <v>1</v>
      </c>
      <c r="P22" s="68">
        <f>O22/(1+'Input data'!$E$123/100)^(N22-'Input data'!$E$6)*IF(N22&lt;'Input data'!$E$6,0,1)</f>
        <v>0.22917419012981158</v>
      </c>
      <c r="Q22" s="67">
        <f t="shared" si="5"/>
        <v>17</v>
      </c>
      <c r="R22" s="74">
        <f>IF(Q22&lt;='Input data'!$E$7+'Input data'!$E$45,1,0)*IF(Q22&lt;'Input data'!$E$45+1,0,'Input data'!$D$124/'Input data'!$E$11)</f>
        <v>0.73000000000000009</v>
      </c>
      <c r="S22" s="72">
        <f>R22/(1+'Input data'!$E$5/100)^(Q22-'Input data'!$E$6)*IF(Q22&lt;'Input data'!$E$6,0,1)</f>
        <v>0.26841948501071633</v>
      </c>
      <c r="T22" s="78">
        <f t="shared" si="6"/>
        <v>17</v>
      </c>
      <c r="U22" s="74">
        <f>IF(T22&lt;='Input data'!$E$7+'Input data'!$E$45,1,0)*IF(T22&lt;'Input data'!$E$45+1,0,'Input data'!$E$124/'Input data'!$E$11)</f>
        <v>1.0428571428571429</v>
      </c>
      <c r="V22" s="68">
        <f>U22/(1+'Input data'!$E$5/100)^(T22-'Input data'!$E$6)*IF(T22&lt;'Input data'!$E$6,0,1)</f>
        <v>0.3834564071581662</v>
      </c>
    </row>
    <row r="23" spans="2:22" x14ac:dyDescent="0.25">
      <c r="B23" s="67">
        <f t="shared" si="0"/>
        <v>18</v>
      </c>
      <c r="C23" s="52">
        <f>IF(B23&lt;='Input data'!$E$7+'Input data'!$E$45,1,0)*IF(B23&lt;'Input data'!$E$45+1,0,1)</f>
        <v>1</v>
      </c>
      <c r="D23" s="68">
        <f>C23/(1+'Input data'!$E$5/100)^(B23-'Input data'!$E$6)*IF(B23&lt;'Input data'!$E$6,0,1)</f>
        <v>0.34046104136316119</v>
      </c>
      <c r="E23" s="67">
        <f t="shared" si="1"/>
        <v>18</v>
      </c>
      <c r="F23" s="52">
        <f>IF(E23&lt;='Input data'!$D$122+'Input data'!$E$45,1,0)*IF(E23&lt;'Input data'!$E$45+1,0,1)</f>
        <v>0</v>
      </c>
      <c r="G23" s="72">
        <f>F23/(1+'Input data'!$E$5/100)^(E23-'Input data'!$E$6)*IF(E23&lt;'Input data'!$E$6,0,1)</f>
        <v>0</v>
      </c>
      <c r="H23" s="78">
        <f t="shared" si="2"/>
        <v>18</v>
      </c>
      <c r="I23" s="52">
        <f>IF(H23&lt;='Input data'!$E$122+'Input data'!$E$45,1,0)*IF('Discount factors'!H23&lt;'Input data'!$E$45+1,0,1)</f>
        <v>1</v>
      </c>
      <c r="J23" s="68">
        <f>I23/(1+'Input data'!$E$5/100)^(H23-'Input data'!$E$6)*IF(H23&lt;'Input data'!$E$6,0,1)</f>
        <v>0.34046104136316119</v>
      </c>
      <c r="K23" s="67">
        <f t="shared" si="3"/>
        <v>18</v>
      </c>
      <c r="L23" s="52">
        <f>IF(K23&lt;='Input data'!$E$7+'Input data'!$E$45,1,0)*IF('Discount factors'!K23&lt;'Input data'!$E$45+1,0,1)</f>
        <v>1</v>
      </c>
      <c r="M23" s="72">
        <f>L23/(1+'Input data'!$D$123/100)^(K23-'Input data'!$E$6)*IF(K23&lt;'Input data'!$E$6,0,1)</f>
        <v>0.57747508282180582</v>
      </c>
      <c r="N23" s="78">
        <f t="shared" si="4"/>
        <v>18</v>
      </c>
      <c r="O23" s="52">
        <f>IF(N23&lt;='Input data'!$E$7+'Input data'!$E$45,1,0)*IF(N23&lt;'Input data'!$E$45+1,0,1)</f>
        <v>1</v>
      </c>
      <c r="P23" s="68">
        <f>O23/(1+'Input data'!$E$123/100)^(N23-'Input data'!$E$6)*IF(N23&lt;'Input data'!$E$6,0,1)</f>
        <v>0.20461981261590317</v>
      </c>
      <c r="Q23" s="67">
        <f t="shared" si="5"/>
        <v>18</v>
      </c>
      <c r="R23" s="74">
        <f>IF(Q23&lt;='Input data'!$E$7+'Input data'!$E$45,1,0)*IF(Q23&lt;'Input data'!$E$45+1,0,'Input data'!$D$124/'Input data'!$E$11)</f>
        <v>0.73000000000000009</v>
      </c>
      <c r="S23" s="72">
        <f>R23/(1+'Input data'!$E$5/100)^(Q23-'Input data'!$E$6)*IF(Q23&lt;'Input data'!$E$6,0,1)</f>
        <v>0.2485365601951077</v>
      </c>
      <c r="T23" s="78">
        <f t="shared" si="6"/>
        <v>18</v>
      </c>
      <c r="U23" s="74">
        <f>IF(T23&lt;='Input data'!$E$7+'Input data'!$E$45,1,0)*IF(T23&lt;'Input data'!$E$45+1,0,'Input data'!$E$124/'Input data'!$E$11)</f>
        <v>1.0428571428571429</v>
      </c>
      <c r="V23" s="68">
        <f>U23/(1+'Input data'!$E$5/100)^(T23-'Input data'!$E$6)*IF(T23&lt;'Input data'!$E$6,0,1)</f>
        <v>0.35505222885015381</v>
      </c>
    </row>
    <row r="24" spans="2:22" x14ac:dyDescent="0.25">
      <c r="B24" s="67">
        <f t="shared" si="0"/>
        <v>19</v>
      </c>
      <c r="C24" s="52">
        <f>IF(B24&lt;='Input data'!$E$7+'Input data'!$E$45,1,0)*IF(B24&lt;'Input data'!$E$45+1,0,1)</f>
        <v>1</v>
      </c>
      <c r="D24" s="68">
        <f>C24/(1+'Input data'!$E$5/100)^(B24-'Input data'!$E$6)*IF(B24&lt;'Input data'!$E$6,0,1)</f>
        <v>0.31524170496588994</v>
      </c>
      <c r="E24" s="67">
        <f t="shared" si="1"/>
        <v>19</v>
      </c>
      <c r="F24" s="52">
        <f>IF(E24&lt;='Input data'!$D$122+'Input data'!$E$45,1,0)*IF(E24&lt;'Input data'!$E$45+1,0,1)</f>
        <v>0</v>
      </c>
      <c r="G24" s="72">
        <f>F24/(1+'Input data'!$E$5/100)^(E24-'Input data'!$E$6)*IF(E24&lt;'Input data'!$E$6,0,1)</f>
        <v>0</v>
      </c>
      <c r="H24" s="78">
        <f t="shared" si="2"/>
        <v>19</v>
      </c>
      <c r="I24" s="52">
        <f>IF(H24&lt;='Input data'!$E$122+'Input data'!$E$45,1,0)*IF('Discount factors'!H24&lt;'Input data'!$E$45+1,0,1)</f>
        <v>1</v>
      </c>
      <c r="J24" s="68">
        <f>I24/(1+'Input data'!$E$5/100)^(H24-'Input data'!$E$6)*IF(H24&lt;'Input data'!$E$6,0,1)</f>
        <v>0.31524170496588994</v>
      </c>
      <c r="K24" s="67">
        <f t="shared" si="3"/>
        <v>19</v>
      </c>
      <c r="L24" s="52">
        <f>IF(K24&lt;='Input data'!$E$7+'Input data'!$E$45,1,0)*IF('Discount factors'!K24&lt;'Input data'!$E$45+1,0,1)</f>
        <v>1</v>
      </c>
      <c r="M24" s="72">
        <f>L24/(1+'Input data'!$D$123/100)^(K24-'Input data'!$E$6)*IF(K24&lt;'Input data'!$E$6,0,1)</f>
        <v>0.55526450271327477</v>
      </c>
      <c r="N24" s="78">
        <f t="shared" si="4"/>
        <v>19</v>
      </c>
      <c r="O24" s="52">
        <f>IF(N24&lt;='Input data'!$E$7+'Input data'!$E$45,1,0)*IF(N24&lt;'Input data'!$E$45+1,0,1)</f>
        <v>1</v>
      </c>
      <c r="P24" s="68">
        <f>O24/(1+'Input data'!$E$123/100)^(N24-'Input data'!$E$6)*IF(N24&lt;'Input data'!$E$6,0,1)</f>
        <v>0.18269626126419927</v>
      </c>
      <c r="Q24" s="67">
        <f t="shared" si="5"/>
        <v>19</v>
      </c>
      <c r="R24" s="74">
        <f>IF(Q24&lt;='Input data'!$E$7+'Input data'!$E$45,1,0)*IF(Q24&lt;'Input data'!$E$45+1,0,'Input data'!$D$124/'Input data'!$E$11)</f>
        <v>0.73000000000000009</v>
      </c>
      <c r="S24" s="72">
        <f>R24/(1+'Input data'!$E$5/100)^(Q24-'Input data'!$E$6)*IF(Q24&lt;'Input data'!$E$6,0,1)</f>
        <v>0.23012644462509971</v>
      </c>
      <c r="T24" s="78">
        <f t="shared" si="6"/>
        <v>19</v>
      </c>
      <c r="U24" s="74">
        <f>IF(T24&lt;='Input data'!$E$7+'Input data'!$E$45,1,0)*IF(T24&lt;'Input data'!$E$45+1,0,'Input data'!$E$124/'Input data'!$E$11)</f>
        <v>1.0428571428571429</v>
      </c>
      <c r="V24" s="68">
        <f>U24/(1+'Input data'!$E$5/100)^(T24-'Input data'!$E$6)*IF(T24&lt;'Input data'!$E$6,0,1)</f>
        <v>0.32875206375014243</v>
      </c>
    </row>
    <row r="25" spans="2:22" x14ac:dyDescent="0.25">
      <c r="B25" s="67">
        <f t="shared" si="0"/>
        <v>20</v>
      </c>
      <c r="C25" s="52">
        <f>IF(B25&lt;='Input data'!$E$7+'Input data'!$E$45,1,0)*IF(B25&lt;'Input data'!$E$45+1,0,1)</f>
        <v>1</v>
      </c>
      <c r="D25" s="68">
        <f>C25/(1+'Input data'!$E$5/100)^(B25-'Input data'!$E$6)*IF(B25&lt;'Input data'!$E$6,0,1)</f>
        <v>0.29189046756100923</v>
      </c>
      <c r="E25" s="67">
        <f t="shared" si="1"/>
        <v>20</v>
      </c>
      <c r="F25" s="52">
        <f>IF(E25&lt;='Input data'!$D$122+'Input data'!$E$45,1,0)*IF(E25&lt;'Input data'!$E$45+1,0,1)</f>
        <v>0</v>
      </c>
      <c r="G25" s="72">
        <f>F25/(1+'Input data'!$E$5/100)^(E25-'Input data'!$E$6)*IF(E25&lt;'Input data'!$E$6,0,1)</f>
        <v>0</v>
      </c>
      <c r="H25" s="78">
        <f t="shared" si="2"/>
        <v>20</v>
      </c>
      <c r="I25" s="52">
        <f>IF(H25&lt;='Input data'!$E$122+'Input data'!$E$45,1,0)*IF('Discount factors'!H25&lt;'Input data'!$E$45+1,0,1)</f>
        <v>1</v>
      </c>
      <c r="J25" s="68">
        <f>I25/(1+'Input data'!$E$5/100)^(H25-'Input data'!$E$6)*IF(H25&lt;'Input data'!$E$6,0,1)</f>
        <v>0.29189046756100923</v>
      </c>
      <c r="K25" s="67">
        <f t="shared" si="3"/>
        <v>20</v>
      </c>
      <c r="L25" s="52">
        <f>IF(K25&lt;='Input data'!$E$7+'Input data'!$E$45,1,0)*IF('Discount factors'!K25&lt;'Input data'!$E$45+1,0,1)</f>
        <v>1</v>
      </c>
      <c r="M25" s="72">
        <f>L25/(1+'Input data'!$D$123/100)^(K25-'Input data'!$E$6)*IF(K25&lt;'Input data'!$E$6,0,1)</f>
        <v>0.53390817568584104</v>
      </c>
      <c r="N25" s="78">
        <f t="shared" si="4"/>
        <v>20</v>
      </c>
      <c r="O25" s="52">
        <f>IF(N25&lt;='Input data'!$E$7+'Input data'!$E$45,1,0)*IF(N25&lt;'Input data'!$E$45+1,0,1)</f>
        <v>1</v>
      </c>
      <c r="P25" s="68">
        <f>O25/(1+'Input data'!$E$123/100)^(N25-'Input data'!$E$6)*IF(N25&lt;'Input data'!$E$6,0,1)</f>
        <v>0.16312166184303503</v>
      </c>
      <c r="Q25" s="67">
        <f t="shared" si="5"/>
        <v>20</v>
      </c>
      <c r="R25" s="74">
        <f>IF(Q25&lt;='Input data'!$E$7+'Input data'!$E$45,1,0)*IF(Q25&lt;'Input data'!$E$45+1,0,'Input data'!$D$124/'Input data'!$E$11)</f>
        <v>0.73000000000000009</v>
      </c>
      <c r="S25" s="72">
        <f>R25/(1+'Input data'!$E$5/100)^(Q25-'Input data'!$E$6)*IF(Q25&lt;'Input data'!$E$6,0,1)</f>
        <v>0.21308004131953676</v>
      </c>
      <c r="T25" s="78">
        <f t="shared" si="6"/>
        <v>20</v>
      </c>
      <c r="U25" s="74">
        <f>IF(T25&lt;='Input data'!$E$7+'Input data'!$E$45,1,0)*IF(T25&lt;'Input data'!$E$45+1,0,'Input data'!$E$124/'Input data'!$E$11)</f>
        <v>1.0428571428571429</v>
      </c>
      <c r="V25" s="68">
        <f>U25/(1+'Input data'!$E$5/100)^(T25-'Input data'!$E$6)*IF(T25&lt;'Input data'!$E$6,0,1)</f>
        <v>0.30440005902790962</v>
      </c>
    </row>
    <row r="26" spans="2:22" x14ac:dyDescent="0.25">
      <c r="B26" s="67">
        <f t="shared" si="0"/>
        <v>21</v>
      </c>
      <c r="C26" s="52">
        <f>IF(B26&lt;='Input data'!$E$7+'Input data'!$E$45,1,0)*IF(B26&lt;'Input data'!$E$45+1,0,1)</f>
        <v>1</v>
      </c>
      <c r="D26" s="68">
        <f>C26/(1+'Input data'!$E$5/100)^(B26-'Input data'!$E$6)*IF(B26&lt;'Input data'!$E$6,0,1)</f>
        <v>0.27026895144537894</v>
      </c>
      <c r="E26" s="67">
        <f t="shared" si="1"/>
        <v>21</v>
      </c>
      <c r="F26" s="52">
        <f>IF(E26&lt;='Input data'!$D$122+'Input data'!$E$45,1,0)*IF(E26&lt;'Input data'!$E$45+1,0,1)</f>
        <v>0</v>
      </c>
      <c r="G26" s="72">
        <f>F26/(1+'Input data'!$E$5/100)^(E26-'Input data'!$E$6)*IF(E26&lt;'Input data'!$E$6,0,1)</f>
        <v>0</v>
      </c>
      <c r="H26" s="78">
        <f t="shared" si="2"/>
        <v>21</v>
      </c>
      <c r="I26" s="52">
        <f>IF(H26&lt;='Input data'!$E$122+'Input data'!$E$45,1,0)*IF('Discount factors'!H26&lt;'Input data'!$E$45+1,0,1)</f>
        <v>1</v>
      </c>
      <c r="J26" s="68">
        <f>I26/(1+'Input data'!$E$5/100)^(H26-'Input data'!$E$6)*IF(H26&lt;'Input data'!$E$6,0,1)</f>
        <v>0.27026895144537894</v>
      </c>
      <c r="K26" s="67">
        <f t="shared" si="3"/>
        <v>21</v>
      </c>
      <c r="L26" s="52">
        <f>IF(K26&lt;='Input data'!$E$7+'Input data'!$E$45,1,0)*IF('Discount factors'!K26&lt;'Input data'!$E$45+1,0,1)</f>
        <v>1</v>
      </c>
      <c r="M26" s="72">
        <f>L26/(1+'Input data'!$D$123/100)^(K26-'Input data'!$E$6)*IF(K26&lt;'Input data'!$E$6,0,1)</f>
        <v>0.51337324585177024</v>
      </c>
      <c r="N26" s="78">
        <f t="shared" si="4"/>
        <v>21</v>
      </c>
      <c r="O26" s="52">
        <f>IF(N26&lt;='Input data'!$E$7+'Input data'!$E$45,1,0)*IF(N26&lt;'Input data'!$E$45+1,0,1)</f>
        <v>1</v>
      </c>
      <c r="P26" s="68">
        <f>O26/(1+'Input data'!$E$123/100)^(N26-'Input data'!$E$6)*IF(N26&lt;'Input data'!$E$6,0,1)</f>
        <v>0.14564434093128129</v>
      </c>
      <c r="Q26" s="67">
        <f t="shared" si="5"/>
        <v>21</v>
      </c>
      <c r="R26" s="74">
        <f>IF(Q26&lt;='Input data'!$E$7+'Input data'!$E$45,1,0)*IF(Q26&lt;'Input data'!$E$45+1,0,'Input data'!$D$124/'Input data'!$E$11)</f>
        <v>0.73000000000000009</v>
      </c>
      <c r="S26" s="72">
        <f>R26/(1+'Input data'!$E$5/100)^(Q26-'Input data'!$E$6)*IF(Q26&lt;'Input data'!$E$6,0,1)</f>
        <v>0.19729633455512663</v>
      </c>
      <c r="T26" s="78">
        <f t="shared" si="6"/>
        <v>21</v>
      </c>
      <c r="U26" s="74">
        <f>IF(T26&lt;='Input data'!$E$7+'Input data'!$E$45,1,0)*IF(T26&lt;'Input data'!$E$45+1,0,'Input data'!$E$124/'Input data'!$E$11)</f>
        <v>1.0428571428571429</v>
      </c>
      <c r="V26" s="68">
        <f>U26/(1+'Input data'!$E$5/100)^(T26-'Input data'!$E$6)*IF(T26&lt;'Input data'!$E$6,0,1)</f>
        <v>0.28185190650732372</v>
      </c>
    </row>
    <row r="27" spans="2:22" x14ac:dyDescent="0.25">
      <c r="B27" s="67">
        <f t="shared" si="0"/>
        <v>22</v>
      </c>
      <c r="C27" s="52">
        <f>IF(B27&lt;='Input data'!$E$7+'Input data'!$E$45,1,0)*IF(B27&lt;'Input data'!$E$45+1,0,1)</f>
        <v>1</v>
      </c>
      <c r="D27" s="68">
        <f>C27/(1+'Input data'!$E$5/100)^(B27-'Input data'!$E$6)*IF(B27&lt;'Input data'!$E$6,0,1)</f>
        <v>0.25024902911609154</v>
      </c>
      <c r="E27" s="67">
        <f t="shared" si="1"/>
        <v>22</v>
      </c>
      <c r="F27" s="52">
        <f>IF(E27&lt;='Input data'!$D$122+'Input data'!$E$45,1,0)*IF(E27&lt;'Input data'!$E$45+1,0,1)</f>
        <v>0</v>
      </c>
      <c r="G27" s="72">
        <f>F27/(1+'Input data'!$E$5/100)^(E27-'Input data'!$E$6)*IF(E27&lt;'Input data'!$E$6,0,1)</f>
        <v>0</v>
      </c>
      <c r="H27" s="78">
        <f t="shared" si="2"/>
        <v>22</v>
      </c>
      <c r="I27" s="52">
        <f>IF(H27&lt;='Input data'!$E$122+'Input data'!$E$45,1,0)*IF('Discount factors'!H27&lt;'Input data'!$E$45+1,0,1)</f>
        <v>1</v>
      </c>
      <c r="J27" s="68">
        <f>I27/(1+'Input data'!$E$5/100)^(H27-'Input data'!$E$6)*IF(H27&lt;'Input data'!$E$6,0,1)</f>
        <v>0.25024902911609154</v>
      </c>
      <c r="K27" s="67">
        <f t="shared" si="3"/>
        <v>22</v>
      </c>
      <c r="L27" s="52">
        <f>IF(K27&lt;='Input data'!$E$7+'Input data'!$E$45,1,0)*IF('Discount factors'!K27&lt;'Input data'!$E$45+1,0,1)</f>
        <v>1</v>
      </c>
      <c r="M27" s="72">
        <f>L27/(1+'Input data'!$D$123/100)^(K27-'Input data'!$E$6)*IF(K27&lt;'Input data'!$E$6,0,1)</f>
        <v>0.49362812101131748</v>
      </c>
      <c r="N27" s="78">
        <f t="shared" si="4"/>
        <v>22</v>
      </c>
      <c r="O27" s="52">
        <f>IF(N27&lt;='Input data'!$E$7+'Input data'!$E$45,1,0)*IF(N27&lt;'Input data'!$E$45+1,0,1)</f>
        <v>1</v>
      </c>
      <c r="P27" s="68">
        <f>O27/(1+'Input data'!$E$123/100)^(N27-'Input data'!$E$6)*IF(N27&lt;'Input data'!$E$6,0,1)</f>
        <v>0.13003959011721541</v>
      </c>
      <c r="Q27" s="67">
        <f t="shared" si="5"/>
        <v>22</v>
      </c>
      <c r="R27" s="74">
        <f>IF(Q27&lt;='Input data'!$E$7+'Input data'!$E$45,1,0)*IF(Q27&lt;'Input data'!$E$45+1,0,'Input data'!$D$124/'Input data'!$E$11)</f>
        <v>0.73000000000000009</v>
      </c>
      <c r="S27" s="72">
        <f>R27/(1+'Input data'!$E$5/100)^(Q27-'Input data'!$E$6)*IF(Q27&lt;'Input data'!$E$6,0,1)</f>
        <v>0.18268179125474687</v>
      </c>
      <c r="T27" s="78">
        <f t="shared" si="6"/>
        <v>22</v>
      </c>
      <c r="U27" s="74">
        <f>IF(T27&lt;='Input data'!$E$7+'Input data'!$E$45,1,0)*IF(T27&lt;'Input data'!$E$45+1,0,'Input data'!$E$124/'Input data'!$E$11)</f>
        <v>1.0428571428571429</v>
      </c>
      <c r="V27" s="68">
        <f>U27/(1+'Input data'!$E$5/100)^(T27-'Input data'!$E$6)*IF(T27&lt;'Input data'!$E$6,0,1)</f>
        <v>0.26097398750678119</v>
      </c>
    </row>
    <row r="28" spans="2:22" x14ac:dyDescent="0.25">
      <c r="B28" s="67">
        <f t="shared" si="0"/>
        <v>23</v>
      </c>
      <c r="C28" s="52">
        <f>IF(B28&lt;='Input data'!$E$7+'Input data'!$E$45,1,0)*IF(B28&lt;'Input data'!$E$45+1,0,1)</f>
        <v>1</v>
      </c>
      <c r="D28" s="68">
        <f>C28/(1+'Input data'!$E$5/100)^(B28-'Input data'!$E$6)*IF(B28&lt;'Input data'!$E$6,0,1)</f>
        <v>0.23171206399638106</v>
      </c>
      <c r="E28" s="67">
        <f t="shared" si="1"/>
        <v>23</v>
      </c>
      <c r="F28" s="52">
        <f>IF(E28&lt;='Input data'!$D$122+'Input data'!$E$45,1,0)*IF(E28&lt;'Input data'!$E$45+1,0,1)</f>
        <v>0</v>
      </c>
      <c r="G28" s="72">
        <f>F28/(1+'Input data'!$E$5/100)^(E28-'Input data'!$E$6)*IF(E28&lt;'Input data'!$E$6,0,1)</f>
        <v>0</v>
      </c>
      <c r="H28" s="78">
        <f t="shared" si="2"/>
        <v>23</v>
      </c>
      <c r="I28" s="52">
        <f>IF(H28&lt;='Input data'!$E$122+'Input data'!$E$45,1,0)*IF('Discount factors'!H28&lt;'Input data'!$E$45+1,0,1)</f>
        <v>1</v>
      </c>
      <c r="J28" s="68">
        <f>I28/(1+'Input data'!$E$5/100)^(H28-'Input data'!$E$6)*IF(H28&lt;'Input data'!$E$6,0,1)</f>
        <v>0.23171206399638106</v>
      </c>
      <c r="K28" s="67">
        <f t="shared" si="3"/>
        <v>23</v>
      </c>
      <c r="L28" s="52">
        <f>IF(K28&lt;='Input data'!$E$7+'Input data'!$E$45,1,0)*IF('Discount factors'!K28&lt;'Input data'!$E$45+1,0,1)</f>
        <v>1</v>
      </c>
      <c r="M28" s="72">
        <f>L28/(1+'Input data'!$D$123/100)^(K28-'Input data'!$E$6)*IF(K28&lt;'Input data'!$E$6,0,1)</f>
        <v>0.47464242404934376</v>
      </c>
      <c r="N28" s="78">
        <f t="shared" si="4"/>
        <v>23</v>
      </c>
      <c r="O28" s="52">
        <f>IF(N28&lt;='Input data'!$E$7+'Input data'!$E$45,1,0)*IF(N28&lt;'Input data'!$E$45+1,0,1)</f>
        <v>1</v>
      </c>
      <c r="P28" s="68">
        <f>O28/(1+'Input data'!$E$123/100)^(N28-'Input data'!$E$6)*IF(N28&lt;'Input data'!$E$6,0,1)</f>
        <v>0.1161067768903709</v>
      </c>
      <c r="Q28" s="67">
        <f t="shared" si="5"/>
        <v>23</v>
      </c>
      <c r="R28" s="74">
        <f>IF(Q28&lt;='Input data'!$E$7+'Input data'!$E$45,1,0)*IF(Q28&lt;'Input data'!$E$45+1,0,'Input data'!$D$124/'Input data'!$E$11)</f>
        <v>0.73000000000000009</v>
      </c>
      <c r="S28" s="72">
        <f>R28/(1+'Input data'!$E$5/100)^(Q28-'Input data'!$E$6)*IF(Q28&lt;'Input data'!$E$6,0,1)</f>
        <v>0.16914980671735819</v>
      </c>
      <c r="T28" s="78">
        <f t="shared" si="6"/>
        <v>23</v>
      </c>
      <c r="U28" s="74">
        <f>IF(T28&lt;='Input data'!$E$7+'Input data'!$E$45,1,0)*IF(T28&lt;'Input data'!$E$45+1,0,'Input data'!$E$124/'Input data'!$E$11)</f>
        <v>1.0428571428571429</v>
      </c>
      <c r="V28" s="68">
        <f>U28/(1+'Input data'!$E$5/100)^(T28-'Input data'!$E$6)*IF(T28&lt;'Input data'!$E$6,0,1)</f>
        <v>0.24164258102479741</v>
      </c>
    </row>
    <row r="29" spans="2:22" x14ac:dyDescent="0.25">
      <c r="B29" s="67">
        <f t="shared" si="0"/>
        <v>24</v>
      </c>
      <c r="C29" s="52">
        <f>IF(B29&lt;='Input data'!$E$7+'Input data'!$E$45,1,0)*IF(B29&lt;'Input data'!$E$45+1,0,1)</f>
        <v>1</v>
      </c>
      <c r="D29" s="68">
        <f>C29/(1+'Input data'!$E$5/100)^(B29-'Input data'!$E$6)*IF(B29&lt;'Input data'!$E$6,0,1)</f>
        <v>0.21454820740405653</v>
      </c>
      <c r="E29" s="67">
        <f t="shared" si="1"/>
        <v>24</v>
      </c>
      <c r="F29" s="52">
        <f>IF(E29&lt;='Input data'!$D$122+'Input data'!$E$45,1,0)*IF(E29&lt;'Input data'!$E$45+1,0,1)</f>
        <v>0</v>
      </c>
      <c r="G29" s="72">
        <f>F29/(1+'Input data'!$E$5/100)^(E29-'Input data'!$E$6)*IF(E29&lt;'Input data'!$E$6,0,1)</f>
        <v>0</v>
      </c>
      <c r="H29" s="78">
        <f t="shared" si="2"/>
        <v>24</v>
      </c>
      <c r="I29" s="52">
        <f>IF(H29&lt;='Input data'!$E$122+'Input data'!$E$45,1,0)*IF('Discount factors'!H29&lt;'Input data'!$E$45+1,0,1)</f>
        <v>1</v>
      </c>
      <c r="J29" s="68">
        <f>I29/(1+'Input data'!$E$5/100)^(H29-'Input data'!$E$6)*IF(H29&lt;'Input data'!$E$6,0,1)</f>
        <v>0.21454820740405653</v>
      </c>
      <c r="K29" s="67">
        <f t="shared" si="3"/>
        <v>24</v>
      </c>
      <c r="L29" s="52">
        <f>IF(K29&lt;='Input data'!$E$7+'Input data'!$E$45,1,0)*IF('Discount factors'!K29&lt;'Input data'!$E$45+1,0,1)</f>
        <v>1</v>
      </c>
      <c r="M29" s="72">
        <f>L29/(1+'Input data'!$D$123/100)^(K29-'Input data'!$E$6)*IF(K29&lt;'Input data'!$E$6,0,1)</f>
        <v>0.45638694620129205</v>
      </c>
      <c r="N29" s="78">
        <f t="shared" si="4"/>
        <v>24</v>
      </c>
      <c r="O29" s="52">
        <f>IF(N29&lt;='Input data'!$E$7+'Input data'!$E$45,1,0)*IF(N29&lt;'Input data'!$E$45+1,0,1)</f>
        <v>1</v>
      </c>
      <c r="P29" s="68">
        <f>O29/(1+'Input data'!$E$123/100)^(N29-'Input data'!$E$6)*IF(N29&lt;'Input data'!$E$6,0,1)</f>
        <v>0.1036667650806883</v>
      </c>
      <c r="Q29" s="67">
        <f t="shared" si="5"/>
        <v>24</v>
      </c>
      <c r="R29" s="74">
        <f>IF(Q29&lt;='Input data'!$E$7+'Input data'!$E$45,1,0)*IF(Q29&lt;'Input data'!$E$45+1,0,'Input data'!$D$124/'Input data'!$E$11)</f>
        <v>0.73000000000000009</v>
      </c>
      <c r="S29" s="72">
        <f>R29/(1+'Input data'!$E$5/100)^(Q29-'Input data'!$E$6)*IF(Q29&lt;'Input data'!$E$6,0,1)</f>
        <v>0.15662019140496131</v>
      </c>
      <c r="T29" s="78">
        <f t="shared" si="6"/>
        <v>24</v>
      </c>
      <c r="U29" s="74">
        <f>IF(T29&lt;='Input data'!$E$7+'Input data'!$E$45,1,0)*IF(T29&lt;'Input data'!$E$45+1,0,'Input data'!$E$124/'Input data'!$E$11)</f>
        <v>1.0428571428571429</v>
      </c>
      <c r="V29" s="68">
        <f>U29/(1+'Input data'!$E$5/100)^(T29-'Input data'!$E$6)*IF(T29&lt;'Input data'!$E$6,0,1)</f>
        <v>0.22374313057851611</v>
      </c>
    </row>
    <row r="30" spans="2:22" x14ac:dyDescent="0.25">
      <c r="B30" s="67">
        <f>B29+1</f>
        <v>25</v>
      </c>
      <c r="C30" s="52">
        <f>IF(B30&lt;='Input data'!$E$7+'Input data'!$E$45,1,0)*IF(B30&lt;'Input data'!$E$45+1,0,1)</f>
        <v>1</v>
      </c>
      <c r="D30" s="68">
        <f>C30/(1+'Input data'!$E$5/100)^(B30-'Input data'!$E$6)*IF(B30&lt;'Input data'!$E$6,0,1)</f>
        <v>0.19865574759634863</v>
      </c>
      <c r="E30" s="67">
        <f>E29+1</f>
        <v>25</v>
      </c>
      <c r="F30" s="52">
        <f>IF(E30&lt;='Input data'!$D$122+'Input data'!$E$45,1,0)*IF(E30&lt;'Input data'!$E$45+1,0,1)</f>
        <v>0</v>
      </c>
      <c r="G30" s="72">
        <f>F30/(1+'Input data'!$E$5/100)^(E30-'Input data'!$E$6)*IF(E30&lt;'Input data'!$E$6,0,1)</f>
        <v>0</v>
      </c>
      <c r="H30" s="78">
        <f>H29+1</f>
        <v>25</v>
      </c>
      <c r="I30" s="52">
        <f>IF(H30&lt;='Input data'!$E$122+'Input data'!$E$45,1,0)*IF('Discount factors'!H30&lt;'Input data'!$E$45+1,0,1)</f>
        <v>1</v>
      </c>
      <c r="J30" s="68">
        <f>I30/(1+'Input data'!$E$5/100)^(H30-'Input data'!$E$6)*IF(H30&lt;'Input data'!$E$6,0,1)</f>
        <v>0.19865574759634863</v>
      </c>
      <c r="K30" s="67">
        <f>K29+1</f>
        <v>25</v>
      </c>
      <c r="L30" s="52">
        <f>IF(K30&lt;='Input data'!$E$7+'Input data'!$E$45,1,0)*IF('Discount factors'!K30&lt;'Input data'!$E$45+1,0,1)</f>
        <v>1</v>
      </c>
      <c r="M30" s="72">
        <f>L30/(1+'Input data'!$D$123/100)^(K30-'Input data'!$E$6)*IF(K30&lt;'Input data'!$E$6,0,1)</f>
        <v>0.43883360211662686</v>
      </c>
      <c r="N30" s="78">
        <f>N29+1</f>
        <v>25</v>
      </c>
      <c r="O30" s="52">
        <f>IF(N30&lt;='Input data'!$E$7+'Input data'!$E$45,1,0)*IF(N30&lt;'Input data'!$E$45+1,0,1)</f>
        <v>1</v>
      </c>
      <c r="P30" s="68">
        <f>O30/(1+'Input data'!$E$123/100)^(N30-'Input data'!$E$6)*IF(N30&lt;'Input data'!$E$6,0,1)</f>
        <v>9.2559611679185971E-2</v>
      </c>
      <c r="Q30" s="67">
        <f>Q29+1</f>
        <v>25</v>
      </c>
      <c r="R30" s="74">
        <f>IF(Q30&lt;='Input data'!$E$7+'Input data'!$E$45,1,0)*IF(Q30&lt;'Input data'!$E$45+1,0,'Input data'!$D$124/'Input data'!$E$11)</f>
        <v>0.73000000000000009</v>
      </c>
      <c r="S30" s="72">
        <f>R30/(1+'Input data'!$E$5/100)^(Q30-'Input data'!$E$6)*IF(Q30&lt;'Input data'!$E$6,0,1)</f>
        <v>0.14501869574533452</v>
      </c>
      <c r="T30" s="78">
        <f>T29+1</f>
        <v>25</v>
      </c>
      <c r="U30" s="74">
        <f>IF(T30&lt;='Input data'!$E$7+'Input data'!$E$45,1,0)*IF(T30&lt;'Input data'!$E$45+1,0,'Input data'!$E$124/'Input data'!$E$11)</f>
        <v>1.0428571428571429</v>
      </c>
      <c r="V30" s="68">
        <f>U30/(1+'Input data'!$E$5/100)^(T30-'Input data'!$E$6)*IF(T30&lt;'Input data'!$E$6,0,1)</f>
        <v>0.20716956535047787</v>
      </c>
    </row>
    <row r="31" spans="2:22" x14ac:dyDescent="0.25">
      <c r="B31" s="67">
        <f t="shared" ref="B31:B58" si="7">B30+1</f>
        <v>26</v>
      </c>
      <c r="C31" s="52">
        <f>IF(B31&lt;='Input data'!$E$7+'Input data'!$E$45,1,0)*IF(B31&lt;'Input data'!$E$45+1,0,1)</f>
        <v>1</v>
      </c>
      <c r="D31" s="68">
        <f>C31/(1+'Input data'!$E$5/100)^(B31-'Input data'!$E$6)*IF(B31&lt;'Input data'!$E$6,0,1)</f>
        <v>0.18394050703365611</v>
      </c>
      <c r="E31" s="67">
        <f t="shared" ref="E31:E58" si="8">E30+1</f>
        <v>26</v>
      </c>
      <c r="F31" s="52">
        <f>IF(E31&lt;='Input data'!$D$122+'Input data'!$E$45,1,0)*IF(E31&lt;'Input data'!$E$45+1,0,1)</f>
        <v>0</v>
      </c>
      <c r="G31" s="72">
        <f>F31/(1+'Input data'!$E$5/100)^(E31-'Input data'!$E$6)*IF(E31&lt;'Input data'!$E$6,0,1)</f>
        <v>0</v>
      </c>
      <c r="H31" s="78">
        <f t="shared" ref="H31:H58" si="9">H30+1</f>
        <v>26</v>
      </c>
      <c r="I31" s="52">
        <f>IF(H31&lt;='Input data'!$E$122+'Input data'!$E$45,1,0)*IF('Discount factors'!H31&lt;'Input data'!$E$45+1,0,1)</f>
        <v>1</v>
      </c>
      <c r="J31" s="68">
        <f>I31/(1+'Input data'!$E$5/100)^(H31-'Input data'!$E$6)*IF(H31&lt;'Input data'!$E$6,0,1)</f>
        <v>0.18394050703365611</v>
      </c>
      <c r="K31" s="67">
        <f t="shared" ref="K31:K58" si="10">K30+1</f>
        <v>26</v>
      </c>
      <c r="L31" s="52">
        <f>IF(K31&lt;='Input data'!$E$7+'Input data'!$E$45,1,0)*IF('Discount factors'!K31&lt;'Input data'!$E$45+1,0,1)</f>
        <v>1</v>
      </c>
      <c r="M31" s="72">
        <f>L31/(1+'Input data'!$D$123/100)^(K31-'Input data'!$E$6)*IF(K31&lt;'Input data'!$E$6,0,1)</f>
        <v>0.42195538665060278</v>
      </c>
      <c r="N31" s="78">
        <f t="shared" ref="N31:N58" si="11">N30+1</f>
        <v>26</v>
      </c>
      <c r="O31" s="52">
        <f>IF(N31&lt;='Input data'!$E$7+'Input data'!$E$45,1,0)*IF(N31&lt;'Input data'!$E$45+1,0,1)</f>
        <v>1</v>
      </c>
      <c r="P31" s="68">
        <f>O31/(1+'Input data'!$E$123/100)^(N31-'Input data'!$E$6)*IF(N31&lt;'Input data'!$E$6,0,1)</f>
        <v>8.2642510427844609E-2</v>
      </c>
      <c r="Q31" s="67">
        <f t="shared" ref="Q31:Q58" si="12">Q30+1</f>
        <v>26</v>
      </c>
      <c r="R31" s="74">
        <f>IF(Q31&lt;='Input data'!$E$7+'Input data'!$E$45,1,0)*IF(Q31&lt;'Input data'!$E$45+1,0,'Input data'!$D$124/'Input data'!$E$11)</f>
        <v>0.73000000000000009</v>
      </c>
      <c r="S31" s="72">
        <f>R31/(1+'Input data'!$E$5/100)^(Q31-'Input data'!$E$6)*IF(Q31&lt;'Input data'!$E$6,0,1)</f>
        <v>0.13427657013456898</v>
      </c>
      <c r="T31" s="78">
        <f t="shared" ref="T31:T58" si="13">T30+1</f>
        <v>26</v>
      </c>
      <c r="U31" s="74">
        <f>IF(T31&lt;='Input data'!$E$7+'Input data'!$E$45,1,0)*IF(T31&lt;'Input data'!$E$45+1,0,'Input data'!$E$124/'Input data'!$E$11)</f>
        <v>1.0428571428571429</v>
      </c>
      <c r="V31" s="68">
        <f>U31/(1+'Input data'!$E$5/100)^(T31-'Input data'!$E$6)*IF(T31&lt;'Input data'!$E$6,0,1)</f>
        <v>0.19182367162081282</v>
      </c>
    </row>
    <row r="32" spans="2:22" x14ac:dyDescent="0.25">
      <c r="B32" s="67">
        <f t="shared" si="7"/>
        <v>27</v>
      </c>
      <c r="C32" s="52">
        <f>IF(B32&lt;='Input data'!$E$7+'Input data'!$E$45,1,0)*IF(B32&lt;'Input data'!$E$45+1,0,1)</f>
        <v>1</v>
      </c>
      <c r="D32" s="68">
        <f>C32/(1+'Input data'!$E$5/100)^(B32-'Input data'!$E$6)*IF(B32&lt;'Input data'!$E$6,0,1)</f>
        <v>0.17031528429042234</v>
      </c>
      <c r="E32" s="67">
        <f t="shared" si="8"/>
        <v>27</v>
      </c>
      <c r="F32" s="52">
        <f>IF(E32&lt;='Input data'!$D$122+'Input data'!$E$45,1,0)*IF(E32&lt;'Input data'!$E$45+1,0,1)</f>
        <v>0</v>
      </c>
      <c r="G32" s="72">
        <f>F32/(1+'Input data'!$E$5/100)^(E32-'Input data'!$E$6)*IF(E32&lt;'Input data'!$E$6,0,1)</f>
        <v>0</v>
      </c>
      <c r="H32" s="78">
        <f t="shared" si="9"/>
        <v>27</v>
      </c>
      <c r="I32" s="52">
        <f>IF(H32&lt;='Input data'!$E$122+'Input data'!$E$45,1,0)*IF('Discount factors'!H32&lt;'Input data'!$E$45+1,0,1)</f>
        <v>1</v>
      </c>
      <c r="J32" s="68">
        <f>I32/(1+'Input data'!$E$5/100)^(H32-'Input data'!$E$6)*IF(H32&lt;'Input data'!$E$6,0,1)</f>
        <v>0.17031528429042234</v>
      </c>
      <c r="K32" s="67">
        <f t="shared" si="10"/>
        <v>27</v>
      </c>
      <c r="L32" s="52">
        <f>IF(K32&lt;='Input data'!$E$7+'Input data'!$E$45,1,0)*IF('Discount factors'!K32&lt;'Input data'!$E$45+1,0,1)</f>
        <v>1</v>
      </c>
      <c r="M32" s="72">
        <f>L32/(1+'Input data'!$D$123/100)^(K32-'Input data'!$E$6)*IF(K32&lt;'Input data'!$E$6,0,1)</f>
        <v>0.40572633331788732</v>
      </c>
      <c r="N32" s="78">
        <f t="shared" si="11"/>
        <v>27</v>
      </c>
      <c r="O32" s="52">
        <f>IF(N32&lt;='Input data'!$E$7+'Input data'!$E$45,1,0)*IF(N32&lt;'Input data'!$E$45+1,0,1)</f>
        <v>1</v>
      </c>
      <c r="P32" s="68">
        <f>O32/(1+'Input data'!$E$123/100)^(N32-'Input data'!$E$6)*IF(N32&lt;'Input data'!$E$6,0,1)</f>
        <v>7.3787955739146982E-2</v>
      </c>
      <c r="Q32" s="67">
        <f t="shared" si="12"/>
        <v>27</v>
      </c>
      <c r="R32" s="74">
        <f>IF(Q32&lt;='Input data'!$E$7+'Input data'!$E$45,1,0)*IF(Q32&lt;'Input data'!$E$45+1,0,'Input data'!$D$124/'Input data'!$E$11)</f>
        <v>0.73000000000000009</v>
      </c>
      <c r="S32" s="72">
        <f>R32/(1+'Input data'!$E$5/100)^(Q32-'Input data'!$E$6)*IF(Q32&lt;'Input data'!$E$6,0,1)</f>
        <v>0.12433015753200832</v>
      </c>
      <c r="T32" s="78">
        <f t="shared" si="13"/>
        <v>27</v>
      </c>
      <c r="U32" s="74">
        <f>IF(T32&lt;='Input data'!$E$7+'Input data'!$E$45,1,0)*IF(T32&lt;'Input data'!$E$45+1,0,'Input data'!$E$124/'Input data'!$E$11)</f>
        <v>1.0428571428571429</v>
      </c>
      <c r="V32" s="68">
        <f>U32/(1+'Input data'!$E$5/100)^(T32-'Input data'!$E$6)*IF(T32&lt;'Input data'!$E$6,0,1)</f>
        <v>0.17761451076001186</v>
      </c>
    </row>
    <row r="33" spans="2:22" x14ac:dyDescent="0.25">
      <c r="B33" s="67">
        <f t="shared" si="7"/>
        <v>28</v>
      </c>
      <c r="C33" s="52">
        <f>IF(B33&lt;='Input data'!$E$7+'Input data'!$E$45,1,0)*IF(B33&lt;'Input data'!$E$45+1,0,1)</f>
        <v>1</v>
      </c>
      <c r="D33" s="68">
        <f>C33/(1+'Input data'!$E$5/100)^(B33-'Input data'!$E$6)*IF(B33&lt;'Input data'!$E$6,0,1)</f>
        <v>0.1576993373059466</v>
      </c>
      <c r="E33" s="67">
        <f t="shared" si="8"/>
        <v>28</v>
      </c>
      <c r="F33" s="52">
        <f>IF(E33&lt;='Input data'!$D$122+'Input data'!$E$45,1,0)*IF(E33&lt;'Input data'!$E$45+1,0,1)</f>
        <v>0</v>
      </c>
      <c r="G33" s="72">
        <f>F33/(1+'Input data'!$E$5/100)^(E33-'Input data'!$E$6)*IF(E33&lt;'Input data'!$E$6,0,1)</f>
        <v>0</v>
      </c>
      <c r="H33" s="78">
        <f t="shared" si="9"/>
        <v>28</v>
      </c>
      <c r="I33" s="52">
        <f>IF(H33&lt;='Input data'!$E$122+'Input data'!$E$45,1,0)*IF('Discount factors'!H33&lt;'Input data'!$E$45+1,0,1)</f>
        <v>1</v>
      </c>
      <c r="J33" s="68">
        <f>I33/(1+'Input data'!$E$5/100)^(H33-'Input data'!$E$6)*IF(H33&lt;'Input data'!$E$6,0,1)</f>
        <v>0.1576993373059466</v>
      </c>
      <c r="K33" s="67">
        <f t="shared" si="10"/>
        <v>28</v>
      </c>
      <c r="L33" s="52">
        <f>IF(K33&lt;='Input data'!$E$7+'Input data'!$E$45,1,0)*IF('Discount factors'!K33&lt;'Input data'!$E$45+1,0,1)</f>
        <v>1</v>
      </c>
      <c r="M33" s="72">
        <f>L33/(1+'Input data'!$D$123/100)^(K33-'Input data'!$E$6)*IF(K33&lt;'Input data'!$E$6,0,1)</f>
        <v>0.39012147434412242</v>
      </c>
      <c r="N33" s="78">
        <f t="shared" si="11"/>
        <v>28</v>
      </c>
      <c r="O33" s="52">
        <f>IF(N33&lt;='Input data'!$E$7+'Input data'!$E$45,1,0)*IF(N33&lt;'Input data'!$E$45+1,0,1)</f>
        <v>1</v>
      </c>
      <c r="P33" s="68">
        <f>O33/(1+'Input data'!$E$123/100)^(N33-'Input data'!$E$6)*IF(N33&lt;'Input data'!$E$6,0,1)</f>
        <v>6.5882103338524081E-2</v>
      </c>
      <c r="Q33" s="67">
        <f t="shared" si="12"/>
        <v>28</v>
      </c>
      <c r="R33" s="74">
        <f>IF(Q33&lt;='Input data'!$E$7+'Input data'!$E$45,1,0)*IF(Q33&lt;'Input data'!$E$45+1,0,'Input data'!$D$124/'Input data'!$E$11)</f>
        <v>0.73000000000000009</v>
      </c>
      <c r="S33" s="72">
        <f>R33/(1+'Input data'!$E$5/100)^(Q33-'Input data'!$E$6)*IF(Q33&lt;'Input data'!$E$6,0,1)</f>
        <v>0.11512051623334103</v>
      </c>
      <c r="T33" s="78">
        <f t="shared" si="13"/>
        <v>28</v>
      </c>
      <c r="U33" s="74">
        <f>IF(T33&lt;='Input data'!$E$7+'Input data'!$E$45,1,0)*IF(T33&lt;'Input data'!$E$45+1,0,'Input data'!$E$124/'Input data'!$E$11)</f>
        <v>1.0428571428571429</v>
      </c>
      <c r="V33" s="68">
        <f>U33/(1+'Input data'!$E$5/100)^(T33-'Input data'!$E$6)*IF(T33&lt;'Input data'!$E$6,0,1)</f>
        <v>0.16445788033334433</v>
      </c>
    </row>
    <row r="34" spans="2:22" x14ac:dyDescent="0.25">
      <c r="B34" s="67">
        <f t="shared" si="7"/>
        <v>29</v>
      </c>
      <c r="C34" s="52">
        <f>IF(B34&lt;='Input data'!$E$7+'Input data'!$E$45,1,0)*IF(B34&lt;'Input data'!$E$45+1,0,1)</f>
        <v>0</v>
      </c>
      <c r="D34" s="68">
        <f>C34/(1+'Input data'!$E$5/100)^(B34-'Input data'!$E$6)*IF(B34&lt;'Input data'!$E$6,0,1)</f>
        <v>0</v>
      </c>
      <c r="E34" s="67">
        <f t="shared" si="8"/>
        <v>29</v>
      </c>
      <c r="F34" s="52">
        <f>IF(E34&lt;='Input data'!$D$122+'Input data'!$E$45,1,0)*IF(E34&lt;'Input data'!$E$45+1,0,1)</f>
        <v>0</v>
      </c>
      <c r="G34" s="72">
        <f>F34/(1+'Input data'!$E$5/100)^(E34-'Input data'!$E$6)*IF(E34&lt;'Input data'!$E$6,0,1)</f>
        <v>0</v>
      </c>
      <c r="H34" s="78">
        <f t="shared" si="9"/>
        <v>29</v>
      </c>
      <c r="I34" s="52">
        <f>IF(H34&lt;='Input data'!$E$122+'Input data'!$E$45,1,0)*IF('Discount factors'!H34&lt;'Input data'!$E$45+1,0,1)</f>
        <v>1</v>
      </c>
      <c r="J34" s="68">
        <f>I34/(1+'Input data'!$E$5/100)^(H34-'Input data'!$E$6)*IF(H34&lt;'Input data'!$E$6,0,1)</f>
        <v>0.1460179049129135</v>
      </c>
      <c r="K34" s="67">
        <f t="shared" si="10"/>
        <v>29</v>
      </c>
      <c r="L34" s="52">
        <f>IF(K34&lt;='Input data'!$E$7+'Input data'!$E$45,1,0)*IF('Discount factors'!K34&lt;'Input data'!$E$45+1,0,1)</f>
        <v>0</v>
      </c>
      <c r="M34" s="72">
        <f>L34/(1+'Input data'!$D$123/100)^(K34-'Input data'!$E$6)*IF(K34&lt;'Input data'!$E$6,0,1)</f>
        <v>0</v>
      </c>
      <c r="N34" s="78">
        <f t="shared" si="11"/>
        <v>29</v>
      </c>
      <c r="O34" s="52">
        <f>IF(N34&lt;='Input data'!$E$7+'Input data'!$E$45,1,0)*IF(N34&lt;'Input data'!$E$45+1,0,1)</f>
        <v>0</v>
      </c>
      <c r="P34" s="68">
        <f>O34/(1+'Input data'!$E$123/100)^(N34-'Input data'!$E$6)*IF(N34&lt;'Input data'!$E$6,0,1)</f>
        <v>0</v>
      </c>
      <c r="Q34" s="67">
        <f t="shared" si="12"/>
        <v>29</v>
      </c>
      <c r="R34" s="74">
        <f>IF(Q34&lt;='Input data'!$E$7+'Input data'!$E$45,1,0)*IF(Q34&lt;'Input data'!$E$45+1,0,'Input data'!$D$124/'Input data'!$E$11)</f>
        <v>0</v>
      </c>
      <c r="S34" s="72">
        <f>R34/(1+'Input data'!$E$5/100)^(Q34-'Input data'!$E$6)*IF(Q34&lt;'Input data'!$E$6,0,1)</f>
        <v>0</v>
      </c>
      <c r="T34" s="78">
        <f t="shared" si="13"/>
        <v>29</v>
      </c>
      <c r="U34" s="74">
        <f>IF(T34&lt;='Input data'!$E$7+'Input data'!$E$45,1,0)*IF(T34&lt;'Input data'!$E$45+1,0,'Input data'!$E$124/'Input data'!$E$11)</f>
        <v>0</v>
      </c>
      <c r="V34" s="68">
        <f>U34/(1+'Input data'!$E$5/100)^(T34-'Input data'!$E$6)*IF(T34&lt;'Input data'!$E$6,0,1)</f>
        <v>0</v>
      </c>
    </row>
    <row r="35" spans="2:22" x14ac:dyDescent="0.25">
      <c r="B35" s="67">
        <f t="shared" si="7"/>
        <v>30</v>
      </c>
      <c r="C35" s="52">
        <f>IF(B35&lt;='Input data'!$E$7+'Input data'!$E$45,1,0)*IF(B35&lt;'Input data'!$E$45+1,0,1)</f>
        <v>0</v>
      </c>
      <c r="D35" s="68">
        <f>C35/(1+'Input data'!$E$5/100)^(B35-'Input data'!$E$6)*IF(B35&lt;'Input data'!$E$6,0,1)</f>
        <v>0</v>
      </c>
      <c r="E35" s="67">
        <f t="shared" si="8"/>
        <v>30</v>
      </c>
      <c r="F35" s="52">
        <f>IF(E35&lt;='Input data'!$D$122+'Input data'!$E$45,1,0)*IF(E35&lt;'Input data'!$E$45+1,0,1)</f>
        <v>0</v>
      </c>
      <c r="G35" s="72">
        <f>F35/(1+'Input data'!$E$5/100)^(E35-'Input data'!$E$6)*IF(E35&lt;'Input data'!$E$6,0,1)</f>
        <v>0</v>
      </c>
      <c r="H35" s="78">
        <f t="shared" si="9"/>
        <v>30</v>
      </c>
      <c r="I35" s="52">
        <f>IF(H35&lt;='Input data'!$E$122+'Input data'!$E$45,1,0)*IF('Discount factors'!H35&lt;'Input data'!$E$45+1,0,1)</f>
        <v>1</v>
      </c>
      <c r="J35" s="68">
        <f>I35/(1+'Input data'!$E$5/100)^(H35-'Input data'!$E$6)*IF(H35&lt;'Input data'!$E$6,0,1)</f>
        <v>0.13520176380825324</v>
      </c>
      <c r="K35" s="67">
        <f t="shared" si="10"/>
        <v>30</v>
      </c>
      <c r="L35" s="52">
        <f>IF(K35&lt;='Input data'!$E$7+'Input data'!$E$45,1,0)*IF('Discount factors'!K35&lt;'Input data'!$E$45+1,0,1)</f>
        <v>0</v>
      </c>
      <c r="M35" s="72">
        <f>L35/(1+'Input data'!$D$123/100)^(K35-'Input data'!$E$6)*IF(K35&lt;'Input data'!$E$6,0,1)</f>
        <v>0</v>
      </c>
      <c r="N35" s="78">
        <f t="shared" si="11"/>
        <v>30</v>
      </c>
      <c r="O35" s="52">
        <f>IF(N35&lt;='Input data'!$E$7+'Input data'!$E$45,1,0)*IF(N35&lt;'Input data'!$E$45+1,0,1)</f>
        <v>0</v>
      </c>
      <c r="P35" s="68">
        <f>O35/(1+'Input data'!$E$123/100)^(N35-'Input data'!$E$6)*IF(N35&lt;'Input data'!$E$6,0,1)</f>
        <v>0</v>
      </c>
      <c r="Q35" s="67">
        <f t="shared" si="12"/>
        <v>30</v>
      </c>
      <c r="R35" s="74">
        <f>IF(Q35&lt;='Input data'!$E$7+'Input data'!$E$45,1,0)*IF(Q35&lt;'Input data'!$E$45+1,0,'Input data'!$D$124/'Input data'!$E$11)</f>
        <v>0</v>
      </c>
      <c r="S35" s="72">
        <f>R35/(1+'Input data'!$E$5/100)^(Q35-'Input data'!$E$6)*IF(Q35&lt;'Input data'!$E$6,0,1)</f>
        <v>0</v>
      </c>
      <c r="T35" s="78">
        <f t="shared" si="13"/>
        <v>30</v>
      </c>
      <c r="U35" s="74">
        <f>IF(T35&lt;='Input data'!$E$7+'Input data'!$E$45,1,0)*IF(T35&lt;'Input data'!$E$45+1,0,'Input data'!$E$124/'Input data'!$E$11)</f>
        <v>0</v>
      </c>
      <c r="V35" s="68">
        <f>U35/(1+'Input data'!$E$5/100)^(T35-'Input data'!$E$6)*IF(T35&lt;'Input data'!$E$6,0,1)</f>
        <v>0</v>
      </c>
    </row>
    <row r="36" spans="2:22" x14ac:dyDescent="0.25">
      <c r="B36" s="67">
        <f t="shared" si="7"/>
        <v>31</v>
      </c>
      <c r="C36" s="52">
        <f>IF(B36&lt;='Input data'!$E$7+'Input data'!$E$45,1,0)*IF(B36&lt;'Input data'!$E$45+1,0,1)</f>
        <v>0</v>
      </c>
      <c r="D36" s="68">
        <f>C36/(1+'Input data'!$E$5/100)^(B36-'Input data'!$E$6)*IF(B36&lt;'Input data'!$E$6,0,1)</f>
        <v>0</v>
      </c>
      <c r="E36" s="67">
        <f t="shared" si="8"/>
        <v>31</v>
      </c>
      <c r="F36" s="52">
        <f>IF(E36&lt;='Input data'!$D$122+'Input data'!$E$45,1,0)*IF(E36&lt;'Input data'!$E$45+1,0,1)</f>
        <v>0</v>
      </c>
      <c r="G36" s="72">
        <f>F36/(1+'Input data'!$E$5/100)^(E36-'Input data'!$E$6)*IF(E36&lt;'Input data'!$E$6,0,1)</f>
        <v>0</v>
      </c>
      <c r="H36" s="78">
        <f t="shared" si="9"/>
        <v>31</v>
      </c>
      <c r="I36" s="52">
        <f>IF(H36&lt;='Input data'!$E$122+'Input data'!$E$45,1,0)*IF('Discount factors'!H36&lt;'Input data'!$E$45+1,0,1)</f>
        <v>1</v>
      </c>
      <c r="J36" s="68">
        <f>I36/(1+'Input data'!$E$5/100)^(H36-'Input data'!$E$6)*IF(H36&lt;'Input data'!$E$6,0,1)</f>
        <v>0.12518681834097523</v>
      </c>
      <c r="K36" s="67">
        <f t="shared" si="10"/>
        <v>31</v>
      </c>
      <c r="L36" s="52">
        <f>IF(K36&lt;='Input data'!$E$7+'Input data'!$E$45,1,0)*IF('Discount factors'!K36&lt;'Input data'!$E$45+1,0,1)</f>
        <v>0</v>
      </c>
      <c r="M36" s="72">
        <f>L36/(1+'Input data'!$D$123/100)^(K36-'Input data'!$E$6)*IF(K36&lt;'Input data'!$E$6,0,1)</f>
        <v>0</v>
      </c>
      <c r="N36" s="78">
        <f t="shared" si="11"/>
        <v>31</v>
      </c>
      <c r="O36" s="52">
        <f>IF(N36&lt;='Input data'!$E$7+'Input data'!$E$45,1,0)*IF(N36&lt;'Input data'!$E$45+1,0,1)</f>
        <v>0</v>
      </c>
      <c r="P36" s="68">
        <f>O36/(1+'Input data'!$E$123/100)^(N36-'Input data'!$E$6)*IF(N36&lt;'Input data'!$E$6,0,1)</f>
        <v>0</v>
      </c>
      <c r="Q36" s="67">
        <f t="shared" si="12"/>
        <v>31</v>
      </c>
      <c r="R36" s="74">
        <f>IF(Q36&lt;='Input data'!$E$7+'Input data'!$E$45,1,0)*IF(Q36&lt;'Input data'!$E$45+1,0,'Input data'!$D$124/'Input data'!$E$11)</f>
        <v>0</v>
      </c>
      <c r="S36" s="72">
        <f>R36/(1+'Input data'!$E$5/100)^(Q36-'Input data'!$E$6)*IF(Q36&lt;'Input data'!$E$6,0,1)</f>
        <v>0</v>
      </c>
      <c r="T36" s="78">
        <f t="shared" si="13"/>
        <v>31</v>
      </c>
      <c r="U36" s="74">
        <f>IF(T36&lt;='Input data'!$E$7+'Input data'!$E$45,1,0)*IF(T36&lt;'Input data'!$E$45+1,0,'Input data'!$E$124/'Input data'!$E$11)</f>
        <v>0</v>
      </c>
      <c r="V36" s="68">
        <f>U36/(1+'Input data'!$E$5/100)^(T36-'Input data'!$E$6)*IF(T36&lt;'Input data'!$E$6,0,1)</f>
        <v>0</v>
      </c>
    </row>
    <row r="37" spans="2:22" x14ac:dyDescent="0.25">
      <c r="B37" s="67">
        <f t="shared" si="7"/>
        <v>32</v>
      </c>
      <c r="C37" s="52">
        <f>IF(B37&lt;='Input data'!$E$7+'Input data'!$E$45,1,0)*IF(B37&lt;'Input data'!$E$45+1,0,1)</f>
        <v>0</v>
      </c>
      <c r="D37" s="68">
        <f>C37/(1+'Input data'!$E$5/100)^(B37-'Input data'!$E$6)*IF(B37&lt;'Input data'!$E$6,0,1)</f>
        <v>0</v>
      </c>
      <c r="E37" s="67">
        <f t="shared" si="8"/>
        <v>32</v>
      </c>
      <c r="F37" s="52">
        <f>IF(E37&lt;='Input data'!$D$122+'Input data'!$E$45,1,0)*IF(E37&lt;'Input data'!$E$45+1,0,1)</f>
        <v>0</v>
      </c>
      <c r="G37" s="72">
        <f>F37/(1+'Input data'!$E$5/100)^(E37-'Input data'!$E$6)*IF(E37&lt;'Input data'!$E$6,0,1)</f>
        <v>0</v>
      </c>
      <c r="H37" s="78">
        <f t="shared" si="9"/>
        <v>32</v>
      </c>
      <c r="I37" s="52">
        <f>IF(H37&lt;='Input data'!$E$122+'Input data'!$E$45,1,0)*IF('Discount factors'!H37&lt;'Input data'!$E$45+1,0,1)</f>
        <v>1</v>
      </c>
      <c r="J37" s="68">
        <f>I37/(1+'Input data'!$E$5/100)^(H37-'Input data'!$E$6)*IF(H37&lt;'Input data'!$E$6,0,1)</f>
        <v>0.11591372068608817</v>
      </c>
      <c r="K37" s="67">
        <f t="shared" si="10"/>
        <v>32</v>
      </c>
      <c r="L37" s="52">
        <f>IF(K37&lt;='Input data'!$E$7+'Input data'!$E$45,1,0)*IF('Discount factors'!K37&lt;'Input data'!$E$45+1,0,1)</f>
        <v>0</v>
      </c>
      <c r="M37" s="72">
        <f>L37/(1+'Input data'!$D$123/100)^(K37-'Input data'!$E$6)*IF(K37&lt;'Input data'!$E$6,0,1)</f>
        <v>0</v>
      </c>
      <c r="N37" s="78">
        <f t="shared" si="11"/>
        <v>32</v>
      </c>
      <c r="O37" s="52">
        <f>IF(N37&lt;='Input data'!$E$7+'Input data'!$E$45,1,0)*IF(N37&lt;'Input data'!$E$45+1,0,1)</f>
        <v>0</v>
      </c>
      <c r="P37" s="68">
        <f>O37/(1+'Input data'!$E$123/100)^(N37-'Input data'!$E$6)*IF(N37&lt;'Input data'!$E$6,0,1)</f>
        <v>0</v>
      </c>
      <c r="Q37" s="67">
        <f t="shared" si="12"/>
        <v>32</v>
      </c>
      <c r="R37" s="74">
        <f>IF(Q37&lt;='Input data'!$E$7+'Input data'!$E$45,1,0)*IF(Q37&lt;'Input data'!$E$45+1,0,'Input data'!$D$124/'Input data'!$E$11)</f>
        <v>0</v>
      </c>
      <c r="S37" s="72">
        <f>R37/(1+'Input data'!$E$5/100)^(Q37-'Input data'!$E$6)*IF(Q37&lt;'Input data'!$E$6,0,1)</f>
        <v>0</v>
      </c>
      <c r="T37" s="78">
        <f t="shared" si="13"/>
        <v>32</v>
      </c>
      <c r="U37" s="74">
        <f>IF(T37&lt;='Input data'!$E$7+'Input data'!$E$45,1,0)*IF(T37&lt;'Input data'!$E$45+1,0,'Input data'!$E$124/'Input data'!$E$11)</f>
        <v>0</v>
      </c>
      <c r="V37" s="68">
        <f>U37/(1+'Input data'!$E$5/100)^(T37-'Input data'!$E$6)*IF(T37&lt;'Input data'!$E$6,0,1)</f>
        <v>0</v>
      </c>
    </row>
    <row r="38" spans="2:22" x14ac:dyDescent="0.25">
      <c r="B38" s="67">
        <f t="shared" si="7"/>
        <v>33</v>
      </c>
      <c r="C38" s="52">
        <f>IF(B38&lt;='Input data'!$E$7+'Input data'!$E$45,1,0)*IF(B38&lt;'Input data'!$E$45+1,0,1)</f>
        <v>0</v>
      </c>
      <c r="D38" s="68">
        <f>C38/(1+'Input data'!$E$5/100)^(B38-'Input data'!$E$6)*IF(B38&lt;'Input data'!$E$6,0,1)</f>
        <v>0</v>
      </c>
      <c r="E38" s="67">
        <f t="shared" si="8"/>
        <v>33</v>
      </c>
      <c r="F38" s="52">
        <f>IF(E38&lt;='Input data'!$D$122+'Input data'!$E$45,1,0)*IF(E38&lt;'Input data'!$E$45+1,0,1)</f>
        <v>0</v>
      </c>
      <c r="G38" s="72">
        <f>F38/(1+'Input data'!$E$5/100)^(E38-'Input data'!$E$6)*IF(E38&lt;'Input data'!$E$6,0,1)</f>
        <v>0</v>
      </c>
      <c r="H38" s="78">
        <f t="shared" si="9"/>
        <v>33</v>
      </c>
      <c r="I38" s="52">
        <f>IF(H38&lt;='Input data'!$E$122+'Input data'!$E$45,1,0)*IF('Discount factors'!H38&lt;'Input data'!$E$45+1,0,1)</f>
        <v>1</v>
      </c>
      <c r="J38" s="68">
        <f>I38/(1+'Input data'!$E$5/100)^(H38-'Input data'!$E$6)*IF(H38&lt;'Input data'!$E$6,0,1)</f>
        <v>0.10732751915378534</v>
      </c>
      <c r="K38" s="67">
        <f t="shared" si="10"/>
        <v>33</v>
      </c>
      <c r="L38" s="52">
        <f>IF(K38&lt;='Input data'!$E$7+'Input data'!$E$45,1,0)*IF('Discount factors'!K38&lt;'Input data'!$E$45+1,0,1)</f>
        <v>0</v>
      </c>
      <c r="M38" s="72">
        <f>L38/(1+'Input data'!$D$123/100)^(K38-'Input data'!$E$6)*IF(K38&lt;'Input data'!$E$6,0,1)</f>
        <v>0</v>
      </c>
      <c r="N38" s="78">
        <f t="shared" si="11"/>
        <v>33</v>
      </c>
      <c r="O38" s="52">
        <f>IF(N38&lt;='Input data'!$E$7+'Input data'!$E$45,1,0)*IF(N38&lt;'Input data'!$E$45+1,0,1)</f>
        <v>0</v>
      </c>
      <c r="P38" s="68">
        <f>O38/(1+'Input data'!$E$123/100)^(N38-'Input data'!$E$6)*IF(N38&lt;'Input data'!$E$6,0,1)</f>
        <v>0</v>
      </c>
      <c r="Q38" s="67">
        <f t="shared" si="12"/>
        <v>33</v>
      </c>
      <c r="R38" s="74">
        <f>IF(Q38&lt;='Input data'!$E$7+'Input data'!$E$45,1,0)*IF(Q38&lt;'Input data'!$E$45+1,0,'Input data'!$D$124/'Input data'!$E$11)</f>
        <v>0</v>
      </c>
      <c r="S38" s="72">
        <f>R38/(1+'Input data'!$E$5/100)^(Q38-'Input data'!$E$6)*IF(Q38&lt;'Input data'!$E$6,0,1)</f>
        <v>0</v>
      </c>
      <c r="T38" s="78">
        <f t="shared" si="13"/>
        <v>33</v>
      </c>
      <c r="U38" s="74">
        <f>IF(T38&lt;='Input data'!$E$7+'Input data'!$E$45,1,0)*IF(T38&lt;'Input data'!$E$45+1,0,'Input data'!$E$124/'Input data'!$E$11)</f>
        <v>0</v>
      </c>
      <c r="V38" s="68">
        <f>U38/(1+'Input data'!$E$5/100)^(T38-'Input data'!$E$6)*IF(T38&lt;'Input data'!$E$6,0,1)</f>
        <v>0</v>
      </c>
    </row>
    <row r="39" spans="2:22" x14ac:dyDescent="0.25">
      <c r="B39" s="67">
        <f t="shared" si="7"/>
        <v>34</v>
      </c>
      <c r="C39" s="52">
        <f>IF(B39&lt;='Input data'!$E$7+'Input data'!$E$45,1,0)*IF(B39&lt;'Input data'!$E$45+1,0,1)</f>
        <v>0</v>
      </c>
      <c r="D39" s="68">
        <f>C39/(1+'Input data'!$E$5/100)^(B39-'Input data'!$E$6)*IF(B39&lt;'Input data'!$E$6,0,1)</f>
        <v>0</v>
      </c>
      <c r="E39" s="67">
        <f t="shared" si="8"/>
        <v>34</v>
      </c>
      <c r="F39" s="52">
        <f>IF(E39&lt;='Input data'!$D$122+'Input data'!$E$45,1,0)*IF(E39&lt;'Input data'!$E$45+1,0,1)</f>
        <v>0</v>
      </c>
      <c r="G39" s="72">
        <f>F39/(1+'Input data'!$E$5/100)^(E39-'Input data'!$E$6)*IF(E39&lt;'Input data'!$E$6,0,1)</f>
        <v>0</v>
      </c>
      <c r="H39" s="78">
        <f t="shared" si="9"/>
        <v>34</v>
      </c>
      <c r="I39" s="52">
        <f>IF(H39&lt;='Input data'!$E$122+'Input data'!$E$45,1,0)*IF('Discount factors'!H39&lt;'Input data'!$E$45+1,0,1)</f>
        <v>1</v>
      </c>
      <c r="J39" s="68">
        <f>I39/(1+'Input data'!$E$5/100)^(H39-'Input data'!$E$6)*IF(H39&lt;'Input data'!$E$6,0,1)</f>
        <v>9.9377332549801231E-2</v>
      </c>
      <c r="K39" s="67">
        <f t="shared" si="10"/>
        <v>34</v>
      </c>
      <c r="L39" s="52">
        <f>IF(K39&lt;='Input data'!$E$7+'Input data'!$E$45,1,0)*IF('Discount factors'!K39&lt;'Input data'!$E$45+1,0,1)</f>
        <v>0</v>
      </c>
      <c r="M39" s="72">
        <f>L39/(1+'Input data'!$D$123/100)^(K39-'Input data'!$E$6)*IF(K39&lt;'Input data'!$E$6,0,1)</f>
        <v>0</v>
      </c>
      <c r="N39" s="78">
        <f t="shared" si="11"/>
        <v>34</v>
      </c>
      <c r="O39" s="52">
        <f>IF(N39&lt;='Input data'!$E$7+'Input data'!$E$45,1,0)*IF(N39&lt;'Input data'!$E$45+1,0,1)</f>
        <v>0</v>
      </c>
      <c r="P39" s="68">
        <f>O39/(1+'Input data'!$E$123/100)^(N39-'Input data'!$E$6)*IF(N39&lt;'Input data'!$E$6,0,1)</f>
        <v>0</v>
      </c>
      <c r="Q39" s="67">
        <f t="shared" si="12"/>
        <v>34</v>
      </c>
      <c r="R39" s="74">
        <f>IF(Q39&lt;='Input data'!$E$7+'Input data'!$E$45,1,0)*IF(Q39&lt;'Input data'!$E$45+1,0,'Input data'!$D$124/'Input data'!$E$11)</f>
        <v>0</v>
      </c>
      <c r="S39" s="72">
        <f>R39/(1+'Input data'!$E$5/100)^(Q39-'Input data'!$E$6)*IF(Q39&lt;'Input data'!$E$6,0,1)</f>
        <v>0</v>
      </c>
      <c r="T39" s="78">
        <f t="shared" si="13"/>
        <v>34</v>
      </c>
      <c r="U39" s="74">
        <f>IF(T39&lt;='Input data'!$E$7+'Input data'!$E$45,1,0)*IF(T39&lt;'Input data'!$E$45+1,0,'Input data'!$E$124/'Input data'!$E$11)</f>
        <v>0</v>
      </c>
      <c r="V39" s="68">
        <f>U39/(1+'Input data'!$E$5/100)^(T39-'Input data'!$E$6)*IF(T39&lt;'Input data'!$E$6,0,1)</f>
        <v>0</v>
      </c>
    </row>
    <row r="40" spans="2:22" x14ac:dyDescent="0.25">
      <c r="B40" s="67">
        <f t="shared" si="7"/>
        <v>35</v>
      </c>
      <c r="C40" s="52">
        <f>IF(B40&lt;='Input data'!$E$7+'Input data'!$E$45,1,0)*IF(B40&lt;'Input data'!$E$45+1,0,1)</f>
        <v>0</v>
      </c>
      <c r="D40" s="68">
        <f>C40/(1+'Input data'!$E$5/100)^(B40-'Input data'!$E$6)*IF(B40&lt;'Input data'!$E$6,0,1)</f>
        <v>0</v>
      </c>
      <c r="E40" s="67">
        <f t="shared" si="8"/>
        <v>35</v>
      </c>
      <c r="F40" s="52">
        <f>IF(E40&lt;='Input data'!$D$122+'Input data'!$E$45,1,0)*IF(E40&lt;'Input data'!$E$45+1,0,1)</f>
        <v>0</v>
      </c>
      <c r="G40" s="72">
        <f>F40/(1+'Input data'!$E$5/100)^(E40-'Input data'!$E$6)*IF(E40&lt;'Input data'!$E$6,0,1)</f>
        <v>0</v>
      </c>
      <c r="H40" s="78">
        <f t="shared" si="9"/>
        <v>35</v>
      </c>
      <c r="I40" s="52">
        <f>IF(H40&lt;='Input data'!$E$122+'Input data'!$E$45,1,0)*IF('Discount factors'!H40&lt;'Input data'!$E$45+1,0,1)</f>
        <v>1</v>
      </c>
      <c r="J40" s="68">
        <f>I40/(1+'Input data'!$E$5/100)^(H40-'Input data'!$E$6)*IF(H40&lt;'Input data'!$E$6,0,1)</f>
        <v>9.2016048657223348E-2</v>
      </c>
      <c r="K40" s="67">
        <f t="shared" si="10"/>
        <v>35</v>
      </c>
      <c r="L40" s="52">
        <f>IF(K40&lt;='Input data'!$E$7+'Input data'!$E$45,1,0)*IF('Discount factors'!K40&lt;'Input data'!$E$45+1,0,1)</f>
        <v>0</v>
      </c>
      <c r="M40" s="72">
        <f>L40/(1+'Input data'!$D$123/100)^(K40-'Input data'!$E$6)*IF(K40&lt;'Input data'!$E$6,0,1)</f>
        <v>0</v>
      </c>
      <c r="N40" s="78">
        <f t="shared" si="11"/>
        <v>35</v>
      </c>
      <c r="O40" s="52">
        <f>IF(N40&lt;='Input data'!$E$7+'Input data'!$E$45,1,0)*IF(N40&lt;'Input data'!$E$45+1,0,1)</f>
        <v>0</v>
      </c>
      <c r="P40" s="68">
        <f>O40/(1+'Input data'!$E$123/100)^(N40-'Input data'!$E$6)*IF(N40&lt;'Input data'!$E$6,0,1)</f>
        <v>0</v>
      </c>
      <c r="Q40" s="67">
        <f t="shared" si="12"/>
        <v>35</v>
      </c>
      <c r="R40" s="74">
        <f>IF(Q40&lt;='Input data'!$E$7+'Input data'!$E$45,1,0)*IF(Q40&lt;'Input data'!$E$45+1,0,'Input data'!$D$124/'Input data'!$E$11)</f>
        <v>0</v>
      </c>
      <c r="S40" s="72">
        <f>R40/(1+'Input data'!$E$5/100)^(Q40-'Input data'!$E$6)*IF(Q40&lt;'Input data'!$E$6,0,1)</f>
        <v>0</v>
      </c>
      <c r="T40" s="78">
        <f t="shared" si="13"/>
        <v>35</v>
      </c>
      <c r="U40" s="74">
        <f>IF(T40&lt;='Input data'!$E$7+'Input data'!$E$45,1,0)*IF(T40&lt;'Input data'!$E$45+1,0,'Input data'!$E$124/'Input data'!$E$11)</f>
        <v>0</v>
      </c>
      <c r="V40" s="68">
        <f>U40/(1+'Input data'!$E$5/100)^(T40-'Input data'!$E$6)*IF(T40&lt;'Input data'!$E$6,0,1)</f>
        <v>0</v>
      </c>
    </row>
    <row r="41" spans="2:22" x14ac:dyDescent="0.25">
      <c r="B41" s="67">
        <f t="shared" si="7"/>
        <v>36</v>
      </c>
      <c r="C41" s="52">
        <f>IF(B41&lt;='Input data'!$E$7+'Input data'!$E$45,1,0)*IF(B41&lt;'Input data'!$E$45+1,0,1)</f>
        <v>0</v>
      </c>
      <c r="D41" s="68">
        <f>C41/(1+'Input data'!$E$5/100)^(B41-'Input data'!$E$6)*IF(B41&lt;'Input data'!$E$6,0,1)</f>
        <v>0</v>
      </c>
      <c r="E41" s="67">
        <f t="shared" si="8"/>
        <v>36</v>
      </c>
      <c r="F41" s="52">
        <f>IF(E41&lt;='Input data'!$D$122+'Input data'!$E$45,1,0)*IF(E41&lt;'Input data'!$E$45+1,0,1)</f>
        <v>0</v>
      </c>
      <c r="G41" s="72">
        <f>F41/(1+'Input data'!$E$5/100)^(E41-'Input data'!$E$6)*IF(E41&lt;'Input data'!$E$6,0,1)</f>
        <v>0</v>
      </c>
      <c r="H41" s="78">
        <f t="shared" si="9"/>
        <v>36</v>
      </c>
      <c r="I41" s="52">
        <f>IF(H41&lt;='Input data'!$E$122+'Input data'!$E$45,1,0)*IF('Discount factors'!H41&lt;'Input data'!$E$45+1,0,1)</f>
        <v>1</v>
      </c>
      <c r="J41" s="68">
        <f>I41/(1+'Input data'!$E$5/100)^(H41-'Input data'!$E$6)*IF(H41&lt;'Input data'!$E$6,0,1)</f>
        <v>8.5200045052984577E-2</v>
      </c>
      <c r="K41" s="67">
        <f t="shared" si="10"/>
        <v>36</v>
      </c>
      <c r="L41" s="52">
        <f>IF(K41&lt;='Input data'!$E$7+'Input data'!$E$45,1,0)*IF('Discount factors'!K41&lt;'Input data'!$E$45+1,0,1)</f>
        <v>0</v>
      </c>
      <c r="M41" s="72">
        <f>L41/(1+'Input data'!$D$123/100)^(K41-'Input data'!$E$6)*IF(K41&lt;'Input data'!$E$6,0,1)</f>
        <v>0</v>
      </c>
      <c r="N41" s="78">
        <f t="shared" si="11"/>
        <v>36</v>
      </c>
      <c r="O41" s="52">
        <f>IF(N41&lt;='Input data'!$E$7+'Input data'!$E$45,1,0)*IF(N41&lt;'Input data'!$E$45+1,0,1)</f>
        <v>0</v>
      </c>
      <c r="P41" s="68">
        <f>O41/(1+'Input data'!$E$123/100)^(N41-'Input data'!$E$6)*IF(N41&lt;'Input data'!$E$6,0,1)</f>
        <v>0</v>
      </c>
      <c r="Q41" s="67">
        <f t="shared" si="12"/>
        <v>36</v>
      </c>
      <c r="R41" s="74">
        <f>IF(Q41&lt;='Input data'!$E$7+'Input data'!$E$45,1,0)*IF(Q41&lt;'Input data'!$E$45+1,0,'Input data'!$D$124/'Input data'!$E$11)</f>
        <v>0</v>
      </c>
      <c r="S41" s="72">
        <f>R41/(1+'Input data'!$E$5/100)^(Q41-'Input data'!$E$6)*IF(Q41&lt;'Input data'!$E$6,0,1)</f>
        <v>0</v>
      </c>
      <c r="T41" s="78">
        <f t="shared" si="13"/>
        <v>36</v>
      </c>
      <c r="U41" s="74">
        <f>IF(T41&lt;='Input data'!$E$7+'Input data'!$E$45,1,0)*IF(T41&lt;'Input data'!$E$45+1,0,'Input data'!$E$124/'Input data'!$E$11)</f>
        <v>0</v>
      </c>
      <c r="V41" s="68">
        <f>U41/(1+'Input data'!$E$5/100)^(T41-'Input data'!$E$6)*IF(T41&lt;'Input data'!$E$6,0,1)</f>
        <v>0</v>
      </c>
    </row>
    <row r="42" spans="2:22" x14ac:dyDescent="0.25">
      <c r="B42" s="67">
        <f t="shared" si="7"/>
        <v>37</v>
      </c>
      <c r="C42" s="52">
        <f>IF(B42&lt;='Input data'!$E$7+'Input data'!$E$45,1,0)*IF(B42&lt;'Input data'!$E$45+1,0,1)</f>
        <v>0</v>
      </c>
      <c r="D42" s="68">
        <f>C42/(1+'Input data'!$E$5/100)^(B42-'Input data'!$E$6)*IF(B42&lt;'Input data'!$E$6,0,1)</f>
        <v>0</v>
      </c>
      <c r="E42" s="67">
        <f t="shared" si="8"/>
        <v>37</v>
      </c>
      <c r="F42" s="52">
        <f>IF(E42&lt;='Input data'!$D$122+'Input data'!$E$45,1,0)*IF(E42&lt;'Input data'!$E$45+1,0,1)</f>
        <v>0</v>
      </c>
      <c r="G42" s="72">
        <f>F42/(1+'Input data'!$E$5/100)^(E42-'Input data'!$E$6)*IF(E42&lt;'Input data'!$E$6,0,1)</f>
        <v>0</v>
      </c>
      <c r="H42" s="78">
        <f t="shared" si="9"/>
        <v>37</v>
      </c>
      <c r="I42" s="52">
        <f>IF(H42&lt;='Input data'!$E$122+'Input data'!$E$45,1,0)*IF('Discount factors'!H42&lt;'Input data'!$E$45+1,0,1)</f>
        <v>1</v>
      </c>
      <c r="J42" s="68">
        <f>I42/(1+'Input data'!$E$5/100)^(H42-'Input data'!$E$6)*IF(H42&lt;'Input data'!$E$6,0,1)</f>
        <v>7.8888930604615354E-2</v>
      </c>
      <c r="K42" s="67">
        <f t="shared" si="10"/>
        <v>37</v>
      </c>
      <c r="L42" s="52">
        <f>IF(K42&lt;='Input data'!$E$7+'Input data'!$E$45,1,0)*IF('Discount factors'!K42&lt;'Input data'!$E$45+1,0,1)</f>
        <v>0</v>
      </c>
      <c r="M42" s="72">
        <f>L42/(1+'Input data'!$D$123/100)^(K42-'Input data'!$E$6)*IF(K42&lt;'Input data'!$E$6,0,1)</f>
        <v>0</v>
      </c>
      <c r="N42" s="78">
        <f t="shared" si="11"/>
        <v>37</v>
      </c>
      <c r="O42" s="52">
        <f>IF(N42&lt;='Input data'!$E$7+'Input data'!$E$45,1,0)*IF(N42&lt;'Input data'!$E$45+1,0,1)</f>
        <v>0</v>
      </c>
      <c r="P42" s="68">
        <f>O42/(1+'Input data'!$E$123/100)^(N42-'Input data'!$E$6)*IF(N42&lt;'Input data'!$E$6,0,1)</f>
        <v>0</v>
      </c>
      <c r="Q42" s="67">
        <f t="shared" si="12"/>
        <v>37</v>
      </c>
      <c r="R42" s="74">
        <f>IF(Q42&lt;='Input data'!$E$7+'Input data'!$E$45,1,0)*IF(Q42&lt;'Input data'!$E$45+1,0,'Input data'!$D$124/'Input data'!$E$11)</f>
        <v>0</v>
      </c>
      <c r="S42" s="72">
        <f>R42/(1+'Input data'!$E$5/100)^(Q42-'Input data'!$E$6)*IF(Q42&lt;'Input data'!$E$6,0,1)</f>
        <v>0</v>
      </c>
      <c r="T42" s="78">
        <f t="shared" si="13"/>
        <v>37</v>
      </c>
      <c r="U42" s="74">
        <f>IF(T42&lt;='Input data'!$E$7+'Input data'!$E$45,1,0)*IF(T42&lt;'Input data'!$E$45+1,0,'Input data'!$E$124/'Input data'!$E$11)</f>
        <v>0</v>
      </c>
      <c r="V42" s="68">
        <f>U42/(1+'Input data'!$E$5/100)^(T42-'Input data'!$E$6)*IF(T42&lt;'Input data'!$E$6,0,1)</f>
        <v>0</v>
      </c>
    </row>
    <row r="43" spans="2:22" x14ac:dyDescent="0.25">
      <c r="B43" s="67">
        <f t="shared" si="7"/>
        <v>38</v>
      </c>
      <c r="C43" s="52">
        <f>IF(B43&lt;='Input data'!$E$7+'Input data'!$E$45,1,0)*IF(B43&lt;'Input data'!$E$45+1,0,1)</f>
        <v>0</v>
      </c>
      <c r="D43" s="68">
        <f>C43/(1+'Input data'!$E$5/100)^(B43-'Input data'!$E$6)*IF(B43&lt;'Input data'!$E$6,0,1)</f>
        <v>0</v>
      </c>
      <c r="E43" s="67">
        <f t="shared" si="8"/>
        <v>38</v>
      </c>
      <c r="F43" s="52">
        <f>IF(E43&lt;='Input data'!$D$122+'Input data'!$E$45,1,0)*IF(E43&lt;'Input data'!$E$45+1,0,1)</f>
        <v>0</v>
      </c>
      <c r="G43" s="72">
        <f>F43/(1+'Input data'!$E$5/100)^(E43-'Input data'!$E$6)*IF(E43&lt;'Input data'!$E$6,0,1)</f>
        <v>0</v>
      </c>
      <c r="H43" s="78">
        <f t="shared" si="9"/>
        <v>38</v>
      </c>
      <c r="I43" s="52">
        <f>IF(H43&lt;='Input data'!$E$122+'Input data'!$E$45,1,0)*IF('Discount factors'!H43&lt;'Input data'!$E$45+1,0,1)</f>
        <v>1</v>
      </c>
      <c r="J43" s="68">
        <f>I43/(1+'Input data'!$E$5/100)^(H43-'Input data'!$E$6)*IF(H43&lt;'Input data'!$E$6,0,1)</f>
        <v>7.3045306115384581E-2</v>
      </c>
      <c r="K43" s="67">
        <f t="shared" si="10"/>
        <v>38</v>
      </c>
      <c r="L43" s="52">
        <f>IF(K43&lt;='Input data'!$E$7+'Input data'!$E$45,1,0)*IF('Discount factors'!K43&lt;'Input data'!$E$45+1,0,1)</f>
        <v>0</v>
      </c>
      <c r="M43" s="72">
        <f>L43/(1+'Input data'!$D$123/100)^(K43-'Input data'!$E$6)*IF(K43&lt;'Input data'!$E$6,0,1)</f>
        <v>0</v>
      </c>
      <c r="N43" s="78">
        <f t="shared" si="11"/>
        <v>38</v>
      </c>
      <c r="O43" s="52">
        <f>IF(N43&lt;='Input data'!$E$7+'Input data'!$E$45,1,0)*IF(N43&lt;'Input data'!$E$45+1,0,1)</f>
        <v>0</v>
      </c>
      <c r="P43" s="68">
        <f>O43/(1+'Input data'!$E$123/100)^(N43-'Input data'!$E$6)*IF(N43&lt;'Input data'!$E$6,0,1)</f>
        <v>0</v>
      </c>
      <c r="Q43" s="67">
        <f t="shared" si="12"/>
        <v>38</v>
      </c>
      <c r="R43" s="74">
        <f>IF(Q43&lt;='Input data'!$E$7+'Input data'!$E$45,1,0)*IF(Q43&lt;'Input data'!$E$45+1,0,'Input data'!$D$124/'Input data'!$E$11)</f>
        <v>0</v>
      </c>
      <c r="S43" s="72">
        <f>R43/(1+'Input data'!$E$5/100)^(Q43-'Input data'!$E$6)*IF(Q43&lt;'Input data'!$E$6,0,1)</f>
        <v>0</v>
      </c>
      <c r="T43" s="78">
        <f t="shared" si="13"/>
        <v>38</v>
      </c>
      <c r="U43" s="74">
        <f>IF(T43&lt;='Input data'!$E$7+'Input data'!$E$45,1,0)*IF(T43&lt;'Input data'!$E$45+1,0,'Input data'!$E$124/'Input data'!$E$11)</f>
        <v>0</v>
      </c>
      <c r="V43" s="68">
        <f>U43/(1+'Input data'!$E$5/100)^(T43-'Input data'!$E$6)*IF(T43&lt;'Input data'!$E$6,0,1)</f>
        <v>0</v>
      </c>
    </row>
    <row r="44" spans="2:22" x14ac:dyDescent="0.25">
      <c r="B44" s="67">
        <f t="shared" si="7"/>
        <v>39</v>
      </c>
      <c r="C44" s="52">
        <f>IF(B44&lt;='Input data'!$E$7+'Input data'!$E$45,1,0)*IF(B44&lt;'Input data'!$E$45+1,0,1)</f>
        <v>0</v>
      </c>
      <c r="D44" s="68">
        <f>C44/(1+'Input data'!$E$5/100)^(B44-'Input data'!$E$6)*IF(B44&lt;'Input data'!$E$6,0,1)</f>
        <v>0</v>
      </c>
      <c r="E44" s="67">
        <f t="shared" si="8"/>
        <v>39</v>
      </c>
      <c r="F44" s="52">
        <f>IF(E44&lt;='Input data'!$D$122+'Input data'!$E$45,1,0)*IF(E44&lt;'Input data'!$E$45+1,0,1)</f>
        <v>0</v>
      </c>
      <c r="G44" s="72">
        <f>F44/(1+'Input data'!$E$5/100)^(E44-'Input data'!$E$6)*IF(E44&lt;'Input data'!$E$6,0,1)</f>
        <v>0</v>
      </c>
      <c r="H44" s="78">
        <f t="shared" si="9"/>
        <v>39</v>
      </c>
      <c r="I44" s="52">
        <f>IF(H44&lt;='Input data'!$E$122+'Input data'!$E$45,1,0)*IF('Discount factors'!H44&lt;'Input data'!$E$45+1,0,1)</f>
        <v>1</v>
      </c>
      <c r="J44" s="68">
        <f>I44/(1+'Input data'!$E$5/100)^(H44-'Input data'!$E$6)*IF(H44&lt;'Input data'!$E$6,0,1)</f>
        <v>6.7634542699430159E-2</v>
      </c>
      <c r="K44" s="67">
        <f t="shared" si="10"/>
        <v>39</v>
      </c>
      <c r="L44" s="52">
        <f>IF(K44&lt;='Input data'!$E$7+'Input data'!$E$45,1,0)*IF('Discount factors'!K44&lt;'Input data'!$E$45+1,0,1)</f>
        <v>0</v>
      </c>
      <c r="M44" s="72">
        <f>L44/(1+'Input data'!$D$123/100)^(K44-'Input data'!$E$6)*IF(K44&lt;'Input data'!$E$6,0,1)</f>
        <v>0</v>
      </c>
      <c r="N44" s="78">
        <f t="shared" si="11"/>
        <v>39</v>
      </c>
      <c r="O44" s="52">
        <f>IF(N44&lt;='Input data'!$E$7+'Input data'!$E$45,1,0)*IF(N44&lt;'Input data'!$E$45+1,0,1)</f>
        <v>0</v>
      </c>
      <c r="P44" s="68">
        <f>O44/(1+'Input data'!$E$123/100)^(N44-'Input data'!$E$6)*IF(N44&lt;'Input data'!$E$6,0,1)</f>
        <v>0</v>
      </c>
      <c r="Q44" s="67">
        <f t="shared" si="12"/>
        <v>39</v>
      </c>
      <c r="R44" s="74">
        <f>IF(Q44&lt;='Input data'!$E$7+'Input data'!$E$45,1,0)*IF(Q44&lt;'Input data'!$E$45+1,0,'Input data'!$D$124/'Input data'!$E$11)</f>
        <v>0</v>
      </c>
      <c r="S44" s="72">
        <f>R44/(1+'Input data'!$E$5/100)^(Q44-'Input data'!$E$6)*IF(Q44&lt;'Input data'!$E$6,0,1)</f>
        <v>0</v>
      </c>
      <c r="T44" s="78">
        <f t="shared" si="13"/>
        <v>39</v>
      </c>
      <c r="U44" s="74">
        <f>IF(T44&lt;='Input data'!$E$7+'Input data'!$E$45,1,0)*IF(T44&lt;'Input data'!$E$45+1,0,'Input data'!$E$124/'Input data'!$E$11)</f>
        <v>0</v>
      </c>
      <c r="V44" s="68">
        <f>U44/(1+'Input data'!$E$5/100)^(T44-'Input data'!$E$6)*IF(T44&lt;'Input data'!$E$6,0,1)</f>
        <v>0</v>
      </c>
    </row>
    <row r="45" spans="2:22" x14ac:dyDescent="0.25">
      <c r="B45" s="67">
        <f t="shared" si="7"/>
        <v>40</v>
      </c>
      <c r="C45" s="52">
        <f>IF(B45&lt;='Input data'!$E$7+'Input data'!$E$45,1,0)*IF(B45&lt;'Input data'!$E$45+1,0,1)</f>
        <v>0</v>
      </c>
      <c r="D45" s="68">
        <f>C45/(1+'Input data'!$E$5/100)^(B45-'Input data'!$E$6)*IF(B45&lt;'Input data'!$E$6,0,1)</f>
        <v>0</v>
      </c>
      <c r="E45" s="67">
        <f t="shared" si="8"/>
        <v>40</v>
      </c>
      <c r="F45" s="52">
        <f>IF(E45&lt;='Input data'!$D$122+'Input data'!$E$45,1,0)*IF(E45&lt;'Input data'!$E$45+1,0,1)</f>
        <v>0</v>
      </c>
      <c r="G45" s="72">
        <f>F45/(1+'Input data'!$E$5/100)^(E45-'Input data'!$E$6)*IF(E45&lt;'Input data'!$E$6,0,1)</f>
        <v>0</v>
      </c>
      <c r="H45" s="78">
        <f t="shared" si="9"/>
        <v>40</v>
      </c>
      <c r="I45" s="52">
        <f>IF(H45&lt;='Input data'!$E$122+'Input data'!$E$45,1,0)*IF('Discount factors'!H45&lt;'Input data'!$E$45+1,0,1)</f>
        <v>1</v>
      </c>
      <c r="J45" s="68">
        <f>I45/(1+'Input data'!$E$5/100)^(H45-'Input data'!$E$6)*IF(H45&lt;'Input data'!$E$6,0,1)</f>
        <v>6.2624576573546434E-2</v>
      </c>
      <c r="K45" s="67">
        <f t="shared" si="10"/>
        <v>40</v>
      </c>
      <c r="L45" s="52">
        <f>IF(K45&lt;='Input data'!$E$7+'Input data'!$E$45,1,0)*IF('Discount factors'!K45&lt;'Input data'!$E$45+1,0,1)</f>
        <v>0</v>
      </c>
      <c r="M45" s="72">
        <f>L45/(1+'Input data'!$D$123/100)^(K45-'Input data'!$E$6)*IF(K45&lt;'Input data'!$E$6,0,1)</f>
        <v>0</v>
      </c>
      <c r="N45" s="78">
        <f t="shared" si="11"/>
        <v>40</v>
      </c>
      <c r="O45" s="52">
        <f>IF(N45&lt;='Input data'!$E$7+'Input data'!$E$45,1,0)*IF(N45&lt;'Input data'!$E$45+1,0,1)</f>
        <v>0</v>
      </c>
      <c r="P45" s="68">
        <f>O45/(1+'Input data'!$E$123/100)^(N45-'Input data'!$E$6)*IF(N45&lt;'Input data'!$E$6,0,1)</f>
        <v>0</v>
      </c>
      <c r="Q45" s="67">
        <f t="shared" si="12"/>
        <v>40</v>
      </c>
      <c r="R45" s="74">
        <f>IF(Q45&lt;='Input data'!$E$7+'Input data'!$E$45,1,0)*IF(Q45&lt;'Input data'!$E$45+1,0,'Input data'!$D$124/'Input data'!$E$11)</f>
        <v>0</v>
      </c>
      <c r="S45" s="72">
        <f>R45/(1+'Input data'!$E$5/100)^(Q45-'Input data'!$E$6)*IF(Q45&lt;'Input data'!$E$6,0,1)</f>
        <v>0</v>
      </c>
      <c r="T45" s="78">
        <f t="shared" si="13"/>
        <v>40</v>
      </c>
      <c r="U45" s="74">
        <f>IF(T45&lt;='Input data'!$E$7+'Input data'!$E$45,1,0)*IF(T45&lt;'Input data'!$E$45+1,0,'Input data'!$E$124/'Input data'!$E$11)</f>
        <v>0</v>
      </c>
      <c r="V45" s="68">
        <f>U45/(1+'Input data'!$E$5/100)^(T45-'Input data'!$E$6)*IF(T45&lt;'Input data'!$E$6,0,1)</f>
        <v>0</v>
      </c>
    </row>
    <row r="46" spans="2:22" x14ac:dyDescent="0.25">
      <c r="B46" s="67">
        <f t="shared" si="7"/>
        <v>41</v>
      </c>
      <c r="C46" s="52">
        <f>IF(B46&lt;='Input data'!$E$7+'Input data'!$E$45,1,0)*IF(B46&lt;'Input data'!$E$45+1,0,1)</f>
        <v>0</v>
      </c>
      <c r="D46" s="68">
        <f>C46/(1+'Input data'!$E$5/100)^(B46-'Input data'!$E$6)*IF(B46&lt;'Input data'!$E$6,0,1)</f>
        <v>0</v>
      </c>
      <c r="E46" s="67">
        <f t="shared" si="8"/>
        <v>41</v>
      </c>
      <c r="F46" s="52">
        <f>IF(E46&lt;='Input data'!$D$122+'Input data'!$E$45,1,0)*IF(E46&lt;'Input data'!$E$45+1,0,1)</f>
        <v>0</v>
      </c>
      <c r="G46" s="72">
        <f>F46/(1+'Input data'!$E$5/100)^(E46-'Input data'!$E$6)*IF(E46&lt;'Input data'!$E$6,0,1)</f>
        <v>0</v>
      </c>
      <c r="H46" s="78">
        <f t="shared" si="9"/>
        <v>41</v>
      </c>
      <c r="I46" s="52">
        <f>IF(H46&lt;='Input data'!$E$122+'Input data'!$E$45,1,0)*IF('Discount factors'!H46&lt;'Input data'!$E$45+1,0,1)</f>
        <v>1</v>
      </c>
      <c r="J46" s="68">
        <f>I46/(1+'Input data'!$E$5/100)^(H46-'Input data'!$E$6)*IF(H46&lt;'Input data'!$E$6,0,1)</f>
        <v>5.7985719049580033E-2</v>
      </c>
      <c r="K46" s="67">
        <f t="shared" si="10"/>
        <v>41</v>
      </c>
      <c r="L46" s="52">
        <f>IF(K46&lt;='Input data'!$E$7+'Input data'!$E$45,1,0)*IF('Discount factors'!K46&lt;'Input data'!$E$45+1,0,1)</f>
        <v>0</v>
      </c>
      <c r="M46" s="72">
        <f>L46/(1+'Input data'!$D$123/100)^(K46-'Input data'!$E$6)*IF(K46&lt;'Input data'!$E$6,0,1)</f>
        <v>0</v>
      </c>
      <c r="N46" s="78">
        <f t="shared" si="11"/>
        <v>41</v>
      </c>
      <c r="O46" s="52">
        <f>IF(N46&lt;='Input data'!$E$7+'Input data'!$E$45,1,0)*IF(N46&lt;'Input data'!$E$45+1,0,1)</f>
        <v>0</v>
      </c>
      <c r="P46" s="68">
        <f>O46/(1+'Input data'!$E$123/100)^(N46-'Input data'!$E$6)*IF(N46&lt;'Input data'!$E$6,0,1)</f>
        <v>0</v>
      </c>
      <c r="Q46" s="67">
        <f t="shared" si="12"/>
        <v>41</v>
      </c>
      <c r="R46" s="74">
        <f>IF(Q46&lt;='Input data'!$E$7+'Input data'!$E$45,1,0)*IF(Q46&lt;'Input data'!$E$45+1,0,'Input data'!$D$124/'Input data'!$E$11)</f>
        <v>0</v>
      </c>
      <c r="S46" s="72">
        <f>R46/(1+'Input data'!$E$5/100)^(Q46-'Input data'!$E$6)*IF(Q46&lt;'Input data'!$E$6,0,1)</f>
        <v>0</v>
      </c>
      <c r="T46" s="78">
        <f t="shared" si="13"/>
        <v>41</v>
      </c>
      <c r="U46" s="74">
        <f>IF(T46&lt;='Input data'!$E$7+'Input data'!$E$45,1,0)*IF(T46&lt;'Input data'!$E$45+1,0,'Input data'!$E$124/'Input data'!$E$11)</f>
        <v>0</v>
      </c>
      <c r="V46" s="68">
        <f>U46/(1+'Input data'!$E$5/100)^(T46-'Input data'!$E$6)*IF(T46&lt;'Input data'!$E$6,0,1)</f>
        <v>0</v>
      </c>
    </row>
    <row r="47" spans="2:22" x14ac:dyDescent="0.25">
      <c r="B47" s="67">
        <f t="shared" si="7"/>
        <v>42</v>
      </c>
      <c r="C47" s="52">
        <f>IF(B47&lt;='Input data'!$E$7+'Input data'!$E$45,1,0)*IF(B47&lt;'Input data'!$E$45+1,0,1)</f>
        <v>0</v>
      </c>
      <c r="D47" s="68">
        <f>C47/(1+'Input data'!$E$5/100)^(B47-'Input data'!$E$6)*IF(B47&lt;'Input data'!$E$6,0,1)</f>
        <v>0</v>
      </c>
      <c r="E47" s="67">
        <f t="shared" si="8"/>
        <v>42</v>
      </c>
      <c r="F47" s="52">
        <f>IF(E47&lt;='Input data'!$D$122+'Input data'!$E$45,1,0)*IF(E47&lt;'Input data'!$E$45+1,0,1)</f>
        <v>0</v>
      </c>
      <c r="G47" s="72">
        <f>F47/(1+'Input data'!$E$5/100)^(E47-'Input data'!$E$6)*IF(E47&lt;'Input data'!$E$6,0,1)</f>
        <v>0</v>
      </c>
      <c r="H47" s="78">
        <f t="shared" si="9"/>
        <v>42</v>
      </c>
      <c r="I47" s="52">
        <f>IF(H47&lt;='Input data'!$E$122+'Input data'!$E$45,1,0)*IF('Discount factors'!H47&lt;'Input data'!$E$45+1,0,1)</f>
        <v>1</v>
      </c>
      <c r="J47" s="68">
        <f>I47/(1+'Input data'!$E$5/100)^(H47-'Input data'!$E$6)*IF(H47&lt;'Input data'!$E$6,0,1)</f>
        <v>5.3690480601462989E-2</v>
      </c>
      <c r="K47" s="67">
        <f t="shared" si="10"/>
        <v>42</v>
      </c>
      <c r="L47" s="52">
        <f>IF(K47&lt;='Input data'!$E$7+'Input data'!$E$45,1,0)*IF('Discount factors'!K47&lt;'Input data'!$E$45+1,0,1)</f>
        <v>0</v>
      </c>
      <c r="M47" s="72">
        <f>L47/(1+'Input data'!$D$123/100)^(K47-'Input data'!$E$6)*IF(K47&lt;'Input data'!$E$6,0,1)</f>
        <v>0</v>
      </c>
      <c r="N47" s="78">
        <f t="shared" si="11"/>
        <v>42</v>
      </c>
      <c r="O47" s="52">
        <f>IF(N47&lt;='Input data'!$E$7+'Input data'!$E$45,1,0)*IF(N47&lt;'Input data'!$E$45+1,0,1)</f>
        <v>0</v>
      </c>
      <c r="P47" s="68">
        <f>O47/(1+'Input data'!$E$123/100)^(N47-'Input data'!$E$6)*IF(N47&lt;'Input data'!$E$6,0,1)</f>
        <v>0</v>
      </c>
      <c r="Q47" s="67">
        <f t="shared" si="12"/>
        <v>42</v>
      </c>
      <c r="R47" s="74">
        <f>IF(Q47&lt;='Input data'!$E$7+'Input data'!$E$45,1,0)*IF(Q47&lt;'Input data'!$E$45+1,0,'Input data'!$D$124/'Input data'!$E$11)</f>
        <v>0</v>
      </c>
      <c r="S47" s="72">
        <f>R47/(1+'Input data'!$E$5/100)^(Q47-'Input data'!$E$6)*IF(Q47&lt;'Input data'!$E$6,0,1)</f>
        <v>0</v>
      </c>
      <c r="T47" s="78">
        <f t="shared" si="13"/>
        <v>42</v>
      </c>
      <c r="U47" s="74">
        <f>IF(T47&lt;='Input data'!$E$7+'Input data'!$E$45,1,0)*IF(T47&lt;'Input data'!$E$45+1,0,'Input data'!$E$124/'Input data'!$E$11)</f>
        <v>0</v>
      </c>
      <c r="V47" s="68">
        <f>U47/(1+'Input data'!$E$5/100)^(T47-'Input data'!$E$6)*IF(T47&lt;'Input data'!$E$6,0,1)</f>
        <v>0</v>
      </c>
    </row>
    <row r="48" spans="2:22" x14ac:dyDescent="0.25">
      <c r="B48" s="67">
        <f t="shared" si="7"/>
        <v>43</v>
      </c>
      <c r="C48" s="52">
        <f>IF(B48&lt;='Input data'!$E$7+'Input data'!$E$45,1,0)*IF(B48&lt;'Input data'!$E$45+1,0,1)</f>
        <v>0</v>
      </c>
      <c r="D48" s="68">
        <f>C48/(1+'Input data'!$E$5/100)^(B48-'Input data'!$E$6)*IF(B48&lt;'Input data'!$E$6,0,1)</f>
        <v>0</v>
      </c>
      <c r="E48" s="67">
        <f t="shared" si="8"/>
        <v>43</v>
      </c>
      <c r="F48" s="52">
        <f>IF(E48&lt;='Input data'!$D$122+'Input data'!$E$45,1,0)*IF(E48&lt;'Input data'!$E$45+1,0,1)</f>
        <v>0</v>
      </c>
      <c r="G48" s="72">
        <f>F48/(1+'Input data'!$E$5/100)^(E48-'Input data'!$E$6)*IF(E48&lt;'Input data'!$E$6,0,1)</f>
        <v>0</v>
      </c>
      <c r="H48" s="78">
        <f t="shared" si="9"/>
        <v>43</v>
      </c>
      <c r="I48" s="52">
        <f>IF(H48&lt;='Input data'!$E$122+'Input data'!$E$45,1,0)*IF('Discount factors'!H48&lt;'Input data'!$E$45+1,0,1)</f>
        <v>1</v>
      </c>
      <c r="J48" s="68">
        <f>I48/(1+'Input data'!$E$5/100)^(H48-'Input data'!$E$6)*IF(H48&lt;'Input data'!$E$6,0,1)</f>
        <v>4.9713407964317585E-2</v>
      </c>
      <c r="K48" s="67">
        <f t="shared" si="10"/>
        <v>43</v>
      </c>
      <c r="L48" s="52">
        <f>IF(K48&lt;='Input data'!$E$7+'Input data'!$E$45,1,0)*IF('Discount factors'!K48&lt;'Input data'!$E$45+1,0,1)</f>
        <v>0</v>
      </c>
      <c r="M48" s="72">
        <f>L48/(1+'Input data'!$D$123/100)^(K48-'Input data'!$E$6)*IF(K48&lt;'Input data'!$E$6,0,1)</f>
        <v>0</v>
      </c>
      <c r="N48" s="78">
        <f t="shared" si="11"/>
        <v>43</v>
      </c>
      <c r="O48" s="52">
        <f>IF(N48&lt;='Input data'!$E$7+'Input data'!$E$45,1,0)*IF(N48&lt;'Input data'!$E$45+1,0,1)</f>
        <v>0</v>
      </c>
      <c r="P48" s="68">
        <f>O48/(1+'Input data'!$E$123/100)^(N48-'Input data'!$E$6)*IF(N48&lt;'Input data'!$E$6,0,1)</f>
        <v>0</v>
      </c>
      <c r="Q48" s="67">
        <f t="shared" si="12"/>
        <v>43</v>
      </c>
      <c r="R48" s="74">
        <f>IF(Q48&lt;='Input data'!$E$7+'Input data'!$E$45,1,0)*IF(Q48&lt;'Input data'!$E$45+1,0,'Input data'!$D$124/'Input data'!$E$11)</f>
        <v>0</v>
      </c>
      <c r="S48" s="72">
        <f>R48/(1+'Input data'!$E$5/100)^(Q48-'Input data'!$E$6)*IF(Q48&lt;'Input data'!$E$6,0,1)</f>
        <v>0</v>
      </c>
      <c r="T48" s="78">
        <f t="shared" si="13"/>
        <v>43</v>
      </c>
      <c r="U48" s="74">
        <f>IF(T48&lt;='Input data'!$E$7+'Input data'!$E$45,1,0)*IF(T48&lt;'Input data'!$E$45+1,0,'Input data'!$E$124/'Input data'!$E$11)</f>
        <v>0</v>
      </c>
      <c r="V48" s="68">
        <f>U48/(1+'Input data'!$E$5/100)^(T48-'Input data'!$E$6)*IF(T48&lt;'Input data'!$E$6,0,1)</f>
        <v>0</v>
      </c>
    </row>
    <row r="49" spans="2:22" x14ac:dyDescent="0.25">
      <c r="B49" s="67">
        <f t="shared" si="7"/>
        <v>44</v>
      </c>
      <c r="C49" s="52">
        <f>IF(B49&lt;='Input data'!$E$7+'Input data'!$E$45,1,0)*IF(B49&lt;'Input data'!$E$45+1,0,1)</f>
        <v>0</v>
      </c>
      <c r="D49" s="68">
        <f>C49/(1+'Input data'!$E$5/100)^(B49-'Input data'!$E$6)*IF(B49&lt;'Input data'!$E$6,0,1)</f>
        <v>0</v>
      </c>
      <c r="E49" s="67">
        <f t="shared" si="8"/>
        <v>44</v>
      </c>
      <c r="F49" s="52">
        <f>IF(E49&lt;='Input data'!$D$122+'Input data'!$E$45,1,0)*IF(E49&lt;'Input data'!$E$45+1,0,1)</f>
        <v>0</v>
      </c>
      <c r="G49" s="72">
        <f>F49/(1+'Input data'!$E$5/100)^(E49-'Input data'!$E$6)*IF(E49&lt;'Input data'!$E$6,0,1)</f>
        <v>0</v>
      </c>
      <c r="H49" s="78">
        <f t="shared" si="9"/>
        <v>44</v>
      </c>
      <c r="I49" s="52">
        <f>IF(H49&lt;='Input data'!$E$122+'Input data'!$E$45,1,0)*IF('Discount factors'!H49&lt;'Input data'!$E$45+1,0,1)</f>
        <v>0</v>
      </c>
      <c r="J49" s="68">
        <f>I49/(1+'Input data'!$E$5/100)^(H49-'Input data'!$E$6)*IF(H49&lt;'Input data'!$E$6,0,1)</f>
        <v>0</v>
      </c>
      <c r="K49" s="67">
        <f t="shared" si="10"/>
        <v>44</v>
      </c>
      <c r="L49" s="52">
        <f>IF(K49&lt;='Input data'!$E$7+'Input data'!$E$45,1,0)*IF('Discount factors'!K49&lt;'Input data'!$E$45+1,0,1)</f>
        <v>0</v>
      </c>
      <c r="M49" s="72">
        <f>L49/(1+'Input data'!$D$123/100)^(K49-'Input data'!$E$6)*IF(K49&lt;'Input data'!$E$6,0,1)</f>
        <v>0</v>
      </c>
      <c r="N49" s="78">
        <f t="shared" si="11"/>
        <v>44</v>
      </c>
      <c r="O49" s="52">
        <f>IF(N49&lt;='Input data'!$E$7+'Input data'!$E$45,1,0)*IF(N49&lt;'Input data'!$E$45+1,0,1)</f>
        <v>0</v>
      </c>
      <c r="P49" s="68">
        <f>O49/(1+'Input data'!$E$123/100)^(N49-'Input data'!$E$6)*IF(N49&lt;'Input data'!$E$6,0,1)</f>
        <v>0</v>
      </c>
      <c r="Q49" s="67">
        <f t="shared" si="12"/>
        <v>44</v>
      </c>
      <c r="R49" s="74">
        <f>IF(Q49&lt;='Input data'!$E$7+'Input data'!$E$45,1,0)*IF(Q49&lt;'Input data'!$E$45+1,0,'Input data'!$D$124/'Input data'!$E$11)</f>
        <v>0</v>
      </c>
      <c r="S49" s="72">
        <f>R49/(1+'Input data'!$E$5/100)^(Q49-'Input data'!$E$6)*IF(Q49&lt;'Input data'!$E$6,0,1)</f>
        <v>0</v>
      </c>
      <c r="T49" s="78">
        <f t="shared" si="13"/>
        <v>44</v>
      </c>
      <c r="U49" s="74">
        <f>IF(T49&lt;='Input data'!$E$7+'Input data'!$E$45,1,0)*IF(T49&lt;'Input data'!$E$45+1,0,'Input data'!$E$124/'Input data'!$E$11)</f>
        <v>0</v>
      </c>
      <c r="V49" s="68">
        <f>U49/(1+'Input data'!$E$5/100)^(T49-'Input data'!$E$6)*IF(T49&lt;'Input data'!$E$6,0,1)</f>
        <v>0</v>
      </c>
    </row>
    <row r="50" spans="2:22" x14ac:dyDescent="0.25">
      <c r="B50" s="67">
        <f t="shared" si="7"/>
        <v>45</v>
      </c>
      <c r="C50" s="52">
        <f>IF(B50&lt;='Input data'!$E$7+'Input data'!$E$45,1,0)*IF(B50&lt;'Input data'!$E$45+1,0,1)</f>
        <v>0</v>
      </c>
      <c r="D50" s="68">
        <f>C50/(1+'Input data'!$E$5/100)^(B50-'Input data'!$E$6)*IF(B50&lt;'Input data'!$E$6,0,1)</f>
        <v>0</v>
      </c>
      <c r="E50" s="67">
        <f t="shared" si="8"/>
        <v>45</v>
      </c>
      <c r="F50" s="52">
        <f>IF(E50&lt;='Input data'!$D$122+'Input data'!$E$45,1,0)*IF(E50&lt;'Input data'!$E$45+1,0,1)</f>
        <v>0</v>
      </c>
      <c r="G50" s="72">
        <f>F50/(1+'Input data'!$E$5/100)^(E50-'Input data'!$E$6)*IF(E50&lt;'Input data'!$E$6,0,1)</f>
        <v>0</v>
      </c>
      <c r="H50" s="78">
        <f t="shared" si="9"/>
        <v>45</v>
      </c>
      <c r="I50" s="52">
        <f>IF(H50&lt;='Input data'!$E$122+'Input data'!$E$45,1,0)*IF('Discount factors'!H50&lt;'Input data'!$E$45+1,0,1)</f>
        <v>0</v>
      </c>
      <c r="J50" s="68">
        <f>I50/(1+'Input data'!$E$5/100)^(H50-'Input data'!$E$6)*IF(H50&lt;'Input data'!$E$6,0,1)</f>
        <v>0</v>
      </c>
      <c r="K50" s="67">
        <f t="shared" si="10"/>
        <v>45</v>
      </c>
      <c r="L50" s="52">
        <f>IF(K50&lt;='Input data'!$E$7+'Input data'!$E$45,1,0)*IF('Discount factors'!K50&lt;'Input data'!$E$45+1,0,1)</f>
        <v>0</v>
      </c>
      <c r="M50" s="72">
        <f>L50/(1+'Input data'!$D$123/100)^(K50-'Input data'!$E$6)*IF(K50&lt;'Input data'!$E$6,0,1)</f>
        <v>0</v>
      </c>
      <c r="N50" s="78">
        <f t="shared" si="11"/>
        <v>45</v>
      </c>
      <c r="O50" s="52">
        <f>IF(N50&lt;='Input data'!$E$7+'Input data'!$E$45,1,0)*IF(N50&lt;'Input data'!$E$45+1,0,1)</f>
        <v>0</v>
      </c>
      <c r="P50" s="68">
        <f>O50/(1+'Input data'!$E$123/100)^(N50-'Input data'!$E$6)*IF(N50&lt;'Input data'!$E$6,0,1)</f>
        <v>0</v>
      </c>
      <c r="Q50" s="67">
        <f t="shared" si="12"/>
        <v>45</v>
      </c>
      <c r="R50" s="74">
        <f>IF(Q50&lt;='Input data'!$E$7+'Input data'!$E$45,1,0)*IF(Q50&lt;'Input data'!$E$45+1,0,'Input data'!$D$124/'Input data'!$E$11)</f>
        <v>0</v>
      </c>
      <c r="S50" s="72">
        <f>R50/(1+'Input data'!$E$5/100)^(Q50-'Input data'!$E$6)*IF(Q50&lt;'Input data'!$E$6,0,1)</f>
        <v>0</v>
      </c>
      <c r="T50" s="78">
        <f t="shared" si="13"/>
        <v>45</v>
      </c>
      <c r="U50" s="74">
        <f>IF(T50&lt;='Input data'!$E$7+'Input data'!$E$45,1,0)*IF(T50&lt;'Input data'!$E$45+1,0,'Input data'!$E$124/'Input data'!$E$11)</f>
        <v>0</v>
      </c>
      <c r="V50" s="68">
        <f>U50/(1+'Input data'!$E$5/100)^(T50-'Input data'!$E$6)*IF(T50&lt;'Input data'!$E$6,0,1)</f>
        <v>0</v>
      </c>
    </row>
    <row r="51" spans="2:22" x14ac:dyDescent="0.25">
      <c r="B51" s="67">
        <f t="shared" si="7"/>
        <v>46</v>
      </c>
      <c r="C51" s="52">
        <f>IF(B51&lt;='Input data'!$E$7+'Input data'!$E$45,1,0)*IF(B51&lt;'Input data'!$E$45+1,0,1)</f>
        <v>0</v>
      </c>
      <c r="D51" s="68">
        <f>C51/(1+'Input data'!$E$5/100)^(B51-'Input data'!$E$6)*IF(B51&lt;'Input data'!$E$6,0,1)</f>
        <v>0</v>
      </c>
      <c r="E51" s="67">
        <f t="shared" si="8"/>
        <v>46</v>
      </c>
      <c r="F51" s="52">
        <f>IF(E51&lt;='Input data'!$D$122+'Input data'!$E$45,1,0)*IF(E51&lt;'Input data'!$E$45+1,0,1)</f>
        <v>0</v>
      </c>
      <c r="G51" s="72">
        <f>F51/(1+'Input data'!$E$5/100)^(E51-'Input data'!$E$6)*IF(E51&lt;'Input data'!$E$6,0,1)</f>
        <v>0</v>
      </c>
      <c r="H51" s="78">
        <f t="shared" si="9"/>
        <v>46</v>
      </c>
      <c r="I51" s="52">
        <f>IF(H51&lt;='Input data'!$E$122+'Input data'!$E$45,1,0)*IF('Discount factors'!H51&lt;'Input data'!$E$45+1,0,1)</f>
        <v>0</v>
      </c>
      <c r="J51" s="68">
        <f>I51/(1+'Input data'!$E$5/100)^(H51-'Input data'!$E$6)*IF(H51&lt;'Input data'!$E$6,0,1)</f>
        <v>0</v>
      </c>
      <c r="K51" s="67">
        <f t="shared" si="10"/>
        <v>46</v>
      </c>
      <c r="L51" s="52">
        <f>IF(K51&lt;='Input data'!$E$7+'Input data'!$E$45,1,0)*IF('Discount factors'!K51&lt;'Input data'!$E$45+1,0,1)</f>
        <v>0</v>
      </c>
      <c r="M51" s="72">
        <f>L51/(1+'Input data'!$D$123/100)^(K51-'Input data'!$E$6)*IF(K51&lt;'Input data'!$E$6,0,1)</f>
        <v>0</v>
      </c>
      <c r="N51" s="78">
        <f t="shared" si="11"/>
        <v>46</v>
      </c>
      <c r="O51" s="52">
        <f>IF(N51&lt;='Input data'!$E$7+'Input data'!$E$45,1,0)*IF(N51&lt;'Input data'!$E$45+1,0,1)</f>
        <v>0</v>
      </c>
      <c r="P51" s="68">
        <f>O51/(1+'Input data'!$E$123/100)^(N51-'Input data'!$E$6)*IF(N51&lt;'Input data'!$E$6,0,1)</f>
        <v>0</v>
      </c>
      <c r="Q51" s="67">
        <f t="shared" si="12"/>
        <v>46</v>
      </c>
      <c r="R51" s="74">
        <f>IF(Q51&lt;='Input data'!$E$7+'Input data'!$E$45,1,0)*IF(Q51&lt;'Input data'!$E$45+1,0,'Input data'!$D$124/'Input data'!$E$11)</f>
        <v>0</v>
      </c>
      <c r="S51" s="72">
        <f>R51/(1+'Input data'!$E$5/100)^(Q51-'Input data'!$E$6)*IF(Q51&lt;'Input data'!$E$6,0,1)</f>
        <v>0</v>
      </c>
      <c r="T51" s="78">
        <f t="shared" si="13"/>
        <v>46</v>
      </c>
      <c r="U51" s="74">
        <f>IF(T51&lt;='Input data'!$E$7+'Input data'!$E$45,1,0)*IF(T51&lt;'Input data'!$E$45+1,0,'Input data'!$E$124/'Input data'!$E$11)</f>
        <v>0</v>
      </c>
      <c r="V51" s="68">
        <f>U51/(1+'Input data'!$E$5/100)^(T51-'Input data'!$E$6)*IF(T51&lt;'Input data'!$E$6,0,1)</f>
        <v>0</v>
      </c>
    </row>
    <row r="52" spans="2:22" x14ac:dyDescent="0.25">
      <c r="B52" s="67">
        <f t="shared" si="7"/>
        <v>47</v>
      </c>
      <c r="C52" s="52">
        <f>IF(B52&lt;='Input data'!$E$7+'Input data'!$E$45,1,0)*IF(B52&lt;'Input data'!$E$45+1,0,1)</f>
        <v>0</v>
      </c>
      <c r="D52" s="68">
        <f>C52/(1+'Input data'!$E$5/100)^(B52-'Input data'!$E$6)*IF(B52&lt;'Input data'!$E$6,0,1)</f>
        <v>0</v>
      </c>
      <c r="E52" s="67">
        <f t="shared" si="8"/>
        <v>47</v>
      </c>
      <c r="F52" s="52">
        <f>IF(E52&lt;='Input data'!$D$122+'Input data'!$E$45,1,0)*IF(E52&lt;'Input data'!$E$45+1,0,1)</f>
        <v>0</v>
      </c>
      <c r="G52" s="72">
        <f>F52/(1+'Input data'!$E$5/100)^(E52-'Input data'!$E$6)*IF(E52&lt;'Input data'!$E$6,0,1)</f>
        <v>0</v>
      </c>
      <c r="H52" s="78">
        <f t="shared" si="9"/>
        <v>47</v>
      </c>
      <c r="I52" s="52">
        <f>IF(H52&lt;='Input data'!$E$122+'Input data'!$E$45,1,0)*IF('Discount factors'!H52&lt;'Input data'!$E$45+1,0,1)</f>
        <v>0</v>
      </c>
      <c r="J52" s="68">
        <f>I52/(1+'Input data'!$E$5/100)^(H52-'Input data'!$E$6)*IF(H52&lt;'Input data'!$E$6,0,1)</f>
        <v>0</v>
      </c>
      <c r="K52" s="67">
        <f t="shared" si="10"/>
        <v>47</v>
      </c>
      <c r="L52" s="52">
        <f>IF(K52&lt;='Input data'!$E$7+'Input data'!$E$45,1,0)*IF('Discount factors'!K52&lt;'Input data'!$E$45+1,0,1)</f>
        <v>0</v>
      </c>
      <c r="M52" s="72">
        <f>L52/(1+'Input data'!$D$123/100)^(K52-'Input data'!$E$6)*IF(K52&lt;'Input data'!$E$6,0,1)</f>
        <v>0</v>
      </c>
      <c r="N52" s="78">
        <f t="shared" si="11"/>
        <v>47</v>
      </c>
      <c r="O52" s="52">
        <f>IF(N52&lt;='Input data'!$E$7+'Input data'!$E$45,1,0)*IF(N52&lt;'Input data'!$E$45+1,0,1)</f>
        <v>0</v>
      </c>
      <c r="P52" s="68">
        <f>O52/(1+'Input data'!$E$123/100)^(N52-'Input data'!$E$6)*IF(N52&lt;'Input data'!$E$6,0,1)</f>
        <v>0</v>
      </c>
      <c r="Q52" s="67">
        <f t="shared" si="12"/>
        <v>47</v>
      </c>
      <c r="R52" s="74">
        <f>IF(Q52&lt;='Input data'!$E$7+'Input data'!$E$45,1,0)*IF(Q52&lt;'Input data'!$E$45+1,0,'Input data'!$D$124/'Input data'!$E$11)</f>
        <v>0</v>
      </c>
      <c r="S52" s="72">
        <f>R52/(1+'Input data'!$E$5/100)^(Q52-'Input data'!$E$6)*IF(Q52&lt;'Input data'!$E$6,0,1)</f>
        <v>0</v>
      </c>
      <c r="T52" s="78">
        <f t="shared" si="13"/>
        <v>47</v>
      </c>
      <c r="U52" s="74">
        <f>IF(T52&lt;='Input data'!$E$7+'Input data'!$E$45,1,0)*IF(T52&lt;'Input data'!$E$45+1,0,'Input data'!$E$124/'Input data'!$E$11)</f>
        <v>0</v>
      </c>
      <c r="V52" s="68">
        <f>U52/(1+'Input data'!$E$5/100)^(T52-'Input data'!$E$6)*IF(T52&lt;'Input data'!$E$6,0,1)</f>
        <v>0</v>
      </c>
    </row>
    <row r="53" spans="2:22" x14ac:dyDescent="0.25">
      <c r="B53" s="67">
        <f t="shared" si="7"/>
        <v>48</v>
      </c>
      <c r="C53" s="52">
        <f>IF(B53&lt;='Input data'!$E$7+'Input data'!$E$45,1,0)*IF(B53&lt;'Input data'!$E$45+1,0,1)</f>
        <v>0</v>
      </c>
      <c r="D53" s="68">
        <f>C53/(1+'Input data'!$E$5/100)^(B53-'Input data'!$E$6)*IF(B53&lt;'Input data'!$E$6,0,1)</f>
        <v>0</v>
      </c>
      <c r="E53" s="67">
        <f t="shared" si="8"/>
        <v>48</v>
      </c>
      <c r="F53" s="52">
        <f>IF(E53&lt;='Input data'!$D$122+'Input data'!$E$45,1,0)*IF(E53&lt;'Input data'!$E$45+1,0,1)</f>
        <v>0</v>
      </c>
      <c r="G53" s="72">
        <f>F53/(1+'Input data'!$E$5/100)^(E53-'Input data'!$E$6)*IF(E53&lt;'Input data'!$E$6,0,1)</f>
        <v>0</v>
      </c>
      <c r="H53" s="78">
        <f t="shared" si="9"/>
        <v>48</v>
      </c>
      <c r="I53" s="52">
        <f>IF(H53&lt;='Input data'!$E$122+'Input data'!$E$45,1,0)*IF('Discount factors'!H53&lt;'Input data'!$E$45+1,0,1)</f>
        <v>0</v>
      </c>
      <c r="J53" s="68">
        <f>I53/(1+'Input data'!$E$5/100)^(H53-'Input data'!$E$6)*IF(H53&lt;'Input data'!$E$6,0,1)</f>
        <v>0</v>
      </c>
      <c r="K53" s="67">
        <f t="shared" si="10"/>
        <v>48</v>
      </c>
      <c r="L53" s="52">
        <f>IF(K53&lt;='Input data'!$E$7+'Input data'!$E$45,1,0)*IF('Discount factors'!K53&lt;'Input data'!$E$45+1,0,1)</f>
        <v>0</v>
      </c>
      <c r="M53" s="72">
        <f>L53/(1+'Input data'!$D$123/100)^(K53-'Input data'!$E$6)*IF(K53&lt;'Input data'!$E$6,0,1)</f>
        <v>0</v>
      </c>
      <c r="N53" s="78">
        <f t="shared" si="11"/>
        <v>48</v>
      </c>
      <c r="O53" s="52">
        <f>IF(N53&lt;='Input data'!$E$7+'Input data'!$E$45,1,0)*IF(N53&lt;'Input data'!$E$45+1,0,1)</f>
        <v>0</v>
      </c>
      <c r="P53" s="68">
        <f>O53/(1+'Input data'!$E$123/100)^(N53-'Input data'!$E$6)*IF(N53&lt;'Input data'!$E$6,0,1)</f>
        <v>0</v>
      </c>
      <c r="Q53" s="67">
        <f t="shared" si="12"/>
        <v>48</v>
      </c>
      <c r="R53" s="74">
        <f>IF(Q53&lt;='Input data'!$E$7+'Input data'!$E$45,1,0)*IF(Q53&lt;'Input data'!$E$45+1,0,'Input data'!$D$124/'Input data'!$E$11)</f>
        <v>0</v>
      </c>
      <c r="S53" s="72">
        <f>R53/(1+'Input data'!$E$5/100)^(Q53-'Input data'!$E$6)*IF(Q53&lt;'Input data'!$E$6,0,1)</f>
        <v>0</v>
      </c>
      <c r="T53" s="78">
        <f t="shared" si="13"/>
        <v>48</v>
      </c>
      <c r="U53" s="74">
        <f>IF(T53&lt;='Input data'!$E$7+'Input data'!$E$45,1,0)*IF(T53&lt;'Input data'!$E$45+1,0,'Input data'!$E$124/'Input data'!$E$11)</f>
        <v>0</v>
      </c>
      <c r="V53" s="68">
        <f>U53/(1+'Input data'!$E$5/100)^(T53-'Input data'!$E$6)*IF(T53&lt;'Input data'!$E$6,0,1)</f>
        <v>0</v>
      </c>
    </row>
    <row r="54" spans="2:22" x14ac:dyDescent="0.25">
      <c r="B54" s="67">
        <f t="shared" si="7"/>
        <v>49</v>
      </c>
      <c r="C54" s="52">
        <f>IF(B54&lt;='Input data'!$E$7+'Input data'!$E$45,1,0)*IF(B54&lt;'Input data'!$E$45+1,0,1)</f>
        <v>0</v>
      </c>
      <c r="D54" s="68">
        <f>C54/(1+'Input data'!$E$5/100)^(B54-'Input data'!$E$6)*IF(B54&lt;'Input data'!$E$6,0,1)</f>
        <v>0</v>
      </c>
      <c r="E54" s="67">
        <f t="shared" si="8"/>
        <v>49</v>
      </c>
      <c r="F54" s="52">
        <f>IF(E54&lt;='Input data'!$D$122+'Input data'!$E$45,1,0)*IF(E54&lt;'Input data'!$E$45+1,0,1)</f>
        <v>0</v>
      </c>
      <c r="G54" s="72">
        <f>F54/(1+'Input data'!$E$5/100)^(E54-'Input data'!$E$6)*IF(E54&lt;'Input data'!$E$6,0,1)</f>
        <v>0</v>
      </c>
      <c r="H54" s="78">
        <f t="shared" si="9"/>
        <v>49</v>
      </c>
      <c r="I54" s="52">
        <f>IF(H54&lt;='Input data'!$E$122+'Input data'!$E$45,1,0)*IF('Discount factors'!H54&lt;'Input data'!$E$45+1,0,1)</f>
        <v>0</v>
      </c>
      <c r="J54" s="68">
        <f>I54/(1+'Input data'!$E$5/100)^(H54-'Input data'!$E$6)*IF(H54&lt;'Input data'!$E$6,0,1)</f>
        <v>0</v>
      </c>
      <c r="K54" s="67">
        <f t="shared" si="10"/>
        <v>49</v>
      </c>
      <c r="L54" s="52">
        <f>IF(K54&lt;='Input data'!$E$7+'Input data'!$E$45,1,0)*IF('Discount factors'!K54&lt;'Input data'!$E$45+1,0,1)</f>
        <v>0</v>
      </c>
      <c r="M54" s="72">
        <f>L54/(1+'Input data'!$D$123/100)^(K54-'Input data'!$E$6)*IF(K54&lt;'Input data'!$E$6,0,1)</f>
        <v>0</v>
      </c>
      <c r="N54" s="78">
        <f t="shared" si="11"/>
        <v>49</v>
      </c>
      <c r="O54" s="52">
        <f>IF(N54&lt;='Input data'!$E$7+'Input data'!$E$45,1,0)*IF(N54&lt;'Input data'!$E$45+1,0,1)</f>
        <v>0</v>
      </c>
      <c r="P54" s="68">
        <f>O54/(1+'Input data'!$E$123/100)^(N54-'Input data'!$E$6)*IF(N54&lt;'Input data'!$E$6,0,1)</f>
        <v>0</v>
      </c>
      <c r="Q54" s="67">
        <f t="shared" si="12"/>
        <v>49</v>
      </c>
      <c r="R54" s="74">
        <f>IF(Q54&lt;='Input data'!$E$7+'Input data'!$E$45,1,0)*IF(Q54&lt;'Input data'!$E$45+1,0,'Input data'!$D$124/'Input data'!$E$11)</f>
        <v>0</v>
      </c>
      <c r="S54" s="72">
        <f>R54/(1+'Input data'!$E$5/100)^(Q54-'Input data'!$E$6)*IF(Q54&lt;'Input data'!$E$6,0,1)</f>
        <v>0</v>
      </c>
      <c r="T54" s="78">
        <f t="shared" si="13"/>
        <v>49</v>
      </c>
      <c r="U54" s="74">
        <f>IF(T54&lt;='Input data'!$E$7+'Input data'!$E$45,1,0)*IF(T54&lt;'Input data'!$E$45+1,0,'Input data'!$E$124/'Input data'!$E$11)</f>
        <v>0</v>
      </c>
      <c r="V54" s="68">
        <f>U54/(1+'Input data'!$E$5/100)^(T54-'Input data'!$E$6)*IF(T54&lt;'Input data'!$E$6,0,1)</f>
        <v>0</v>
      </c>
    </row>
    <row r="55" spans="2:22" x14ac:dyDescent="0.25">
      <c r="B55" s="67">
        <f t="shared" si="7"/>
        <v>50</v>
      </c>
      <c r="C55" s="52">
        <f>IF(B55&lt;='Input data'!$E$7+'Input data'!$E$45,1,0)*IF(B55&lt;'Input data'!$E$45+1,0,1)</f>
        <v>0</v>
      </c>
      <c r="D55" s="68">
        <f>C55/(1+'Input data'!$E$5/100)^(B55-'Input data'!$E$6)*IF(B55&lt;'Input data'!$E$6,0,1)</f>
        <v>0</v>
      </c>
      <c r="E55" s="67">
        <f t="shared" si="8"/>
        <v>50</v>
      </c>
      <c r="F55" s="52">
        <f>IF(E55&lt;='Input data'!$D$122+'Input data'!$E$45,1,0)*IF(E55&lt;'Input data'!$E$45+1,0,1)</f>
        <v>0</v>
      </c>
      <c r="G55" s="72">
        <f>F55/(1+'Input data'!$E$5/100)^(E55-'Input data'!$E$6)*IF(E55&lt;'Input data'!$E$6,0,1)</f>
        <v>0</v>
      </c>
      <c r="H55" s="78">
        <f t="shared" si="9"/>
        <v>50</v>
      </c>
      <c r="I55" s="52">
        <f>IF(H55&lt;='Input data'!$E$122+'Input data'!$E$45,1,0)*IF('Discount factors'!H55&lt;'Input data'!$E$45+1,0,1)</f>
        <v>0</v>
      </c>
      <c r="J55" s="68">
        <f>I55/(1+'Input data'!$E$5/100)^(H55-'Input data'!$E$6)*IF(H55&lt;'Input data'!$E$6,0,1)</f>
        <v>0</v>
      </c>
      <c r="K55" s="67">
        <f t="shared" si="10"/>
        <v>50</v>
      </c>
      <c r="L55" s="52">
        <f>IF(K55&lt;='Input data'!$E$7+'Input data'!$E$45,1,0)*IF('Discount factors'!K55&lt;'Input data'!$E$45+1,0,1)</f>
        <v>0</v>
      </c>
      <c r="M55" s="72">
        <f>L55/(1+'Input data'!$D$123/100)^(K55-'Input data'!$E$6)*IF(K55&lt;'Input data'!$E$6,0,1)</f>
        <v>0</v>
      </c>
      <c r="N55" s="78">
        <f t="shared" si="11"/>
        <v>50</v>
      </c>
      <c r="O55" s="52">
        <f>IF(N55&lt;='Input data'!$E$7+'Input data'!$E$45,1,0)*IF(N55&lt;'Input data'!$E$45+1,0,1)</f>
        <v>0</v>
      </c>
      <c r="P55" s="68">
        <f>O55/(1+'Input data'!$E$123/100)^(N55-'Input data'!$E$6)*IF(N55&lt;'Input data'!$E$6,0,1)</f>
        <v>0</v>
      </c>
      <c r="Q55" s="67">
        <f t="shared" si="12"/>
        <v>50</v>
      </c>
      <c r="R55" s="74">
        <f>IF(Q55&lt;='Input data'!$E$7+'Input data'!$E$45,1,0)*IF(Q55&lt;'Input data'!$E$45+1,0,'Input data'!$D$124/'Input data'!$E$11)</f>
        <v>0</v>
      </c>
      <c r="S55" s="72">
        <f>R55/(1+'Input data'!$E$5/100)^(Q55-'Input data'!$E$6)*IF(Q55&lt;'Input data'!$E$6,0,1)</f>
        <v>0</v>
      </c>
      <c r="T55" s="78">
        <f t="shared" si="13"/>
        <v>50</v>
      </c>
      <c r="U55" s="74">
        <f>IF(T55&lt;='Input data'!$E$7+'Input data'!$E$45,1,0)*IF(T55&lt;'Input data'!$E$45+1,0,'Input data'!$E$124/'Input data'!$E$11)</f>
        <v>0</v>
      </c>
      <c r="V55" s="68">
        <f>U55/(1+'Input data'!$E$5/100)^(T55-'Input data'!$E$6)*IF(T55&lt;'Input data'!$E$6,0,1)</f>
        <v>0</v>
      </c>
    </row>
    <row r="56" spans="2:22" x14ac:dyDescent="0.25">
      <c r="B56" s="67">
        <f t="shared" si="7"/>
        <v>51</v>
      </c>
      <c r="C56" s="52">
        <f>IF(B56&lt;='Input data'!$E$7+'Input data'!$E$45,1,0)*IF(B56&lt;'Input data'!$E$45+1,0,1)</f>
        <v>0</v>
      </c>
      <c r="D56" s="68">
        <f>C56/(1+'Input data'!$E$5/100)^(B56-'Input data'!$E$6)*IF(B56&lt;'Input data'!$E$6,0,1)</f>
        <v>0</v>
      </c>
      <c r="E56" s="67">
        <f t="shared" si="8"/>
        <v>51</v>
      </c>
      <c r="F56" s="52">
        <f>IF(E56&lt;='Input data'!$D$122+'Input data'!$E$45,1,0)*IF(E56&lt;'Input data'!$E$45+1,0,1)</f>
        <v>0</v>
      </c>
      <c r="G56" s="72">
        <f>F56/(1+'Input data'!$E$5/100)^(E56-'Input data'!$E$6)*IF(E56&lt;'Input data'!$E$6,0,1)</f>
        <v>0</v>
      </c>
      <c r="H56" s="78">
        <f t="shared" si="9"/>
        <v>51</v>
      </c>
      <c r="I56" s="52">
        <f>IF(H56&lt;='Input data'!$E$122+'Input data'!$E$45,1,0)*IF('Discount factors'!H56&lt;'Input data'!$E$45+1,0,1)</f>
        <v>0</v>
      </c>
      <c r="J56" s="68">
        <f>I56/(1+'Input data'!$E$5/100)^(H56-'Input data'!$E$6)*IF(H56&lt;'Input data'!$E$6,0,1)</f>
        <v>0</v>
      </c>
      <c r="K56" s="67">
        <f t="shared" si="10"/>
        <v>51</v>
      </c>
      <c r="L56" s="52">
        <f>IF(K56&lt;='Input data'!$E$7+'Input data'!$E$45,1,0)*IF('Discount factors'!K56&lt;'Input data'!$E$45+1,0,1)</f>
        <v>0</v>
      </c>
      <c r="M56" s="72">
        <f>L56/(1+'Input data'!$D$123/100)^(K56-'Input data'!$E$6)*IF(K56&lt;'Input data'!$E$6,0,1)</f>
        <v>0</v>
      </c>
      <c r="N56" s="78">
        <f t="shared" si="11"/>
        <v>51</v>
      </c>
      <c r="O56" s="52">
        <f>IF(N56&lt;='Input data'!$E$7+'Input data'!$E$45,1,0)*IF(N56&lt;'Input data'!$E$45+1,0,1)</f>
        <v>0</v>
      </c>
      <c r="P56" s="68">
        <f>O56/(1+'Input data'!$E$123/100)^(N56-'Input data'!$E$6)*IF(N56&lt;'Input data'!$E$6,0,1)</f>
        <v>0</v>
      </c>
      <c r="Q56" s="67">
        <f t="shared" si="12"/>
        <v>51</v>
      </c>
      <c r="R56" s="74">
        <f>IF(Q56&lt;='Input data'!$E$7+'Input data'!$E$45,1,0)*IF(Q56&lt;'Input data'!$E$45+1,0,'Input data'!$D$124/'Input data'!$E$11)</f>
        <v>0</v>
      </c>
      <c r="S56" s="72">
        <f>R56/(1+'Input data'!$E$5/100)^(Q56-'Input data'!$E$6)*IF(Q56&lt;'Input data'!$E$6,0,1)</f>
        <v>0</v>
      </c>
      <c r="T56" s="78">
        <f t="shared" si="13"/>
        <v>51</v>
      </c>
      <c r="U56" s="74">
        <f>IF(T56&lt;='Input data'!$E$7+'Input data'!$E$45,1,0)*IF(T56&lt;'Input data'!$E$45+1,0,'Input data'!$E$124/'Input data'!$E$11)</f>
        <v>0</v>
      </c>
      <c r="V56" s="68">
        <f>U56/(1+'Input data'!$E$5/100)^(T56-'Input data'!$E$6)*IF(T56&lt;'Input data'!$E$6,0,1)</f>
        <v>0</v>
      </c>
    </row>
    <row r="57" spans="2:22" x14ac:dyDescent="0.25">
      <c r="B57" s="67">
        <f t="shared" si="7"/>
        <v>52</v>
      </c>
      <c r="C57" s="52">
        <f>IF(B57&lt;='Input data'!$E$7+'Input data'!$E$45,1,0)*IF(B57&lt;'Input data'!$E$45+1,0,1)</f>
        <v>0</v>
      </c>
      <c r="D57" s="68">
        <f>C57/(1+'Input data'!$E$5/100)^(B57-'Input data'!$E$6)*IF(B57&lt;'Input data'!$E$6,0,1)</f>
        <v>0</v>
      </c>
      <c r="E57" s="67">
        <f t="shared" si="8"/>
        <v>52</v>
      </c>
      <c r="F57" s="52">
        <f>IF(E57&lt;='Input data'!$D$122+'Input data'!$E$45,1,0)*IF(E57&lt;'Input data'!$E$45+1,0,1)</f>
        <v>0</v>
      </c>
      <c r="G57" s="72">
        <f>F57/(1+'Input data'!$E$5/100)^(E57-'Input data'!$E$6)*IF(E57&lt;'Input data'!$E$6,0,1)</f>
        <v>0</v>
      </c>
      <c r="H57" s="78">
        <f t="shared" si="9"/>
        <v>52</v>
      </c>
      <c r="I57" s="52">
        <f>IF(H57&lt;='Input data'!$E$122+'Input data'!$E$45,1,0)*IF('Discount factors'!H57&lt;'Input data'!$E$45+1,0,1)</f>
        <v>0</v>
      </c>
      <c r="J57" s="68">
        <f>I57/(1+'Input data'!$E$5/100)^(H57-'Input data'!$E$6)*IF(H57&lt;'Input data'!$E$6,0,1)</f>
        <v>0</v>
      </c>
      <c r="K57" s="67">
        <f t="shared" si="10"/>
        <v>52</v>
      </c>
      <c r="L57" s="52">
        <f>IF(K57&lt;='Input data'!$E$7+'Input data'!$E$45,1,0)*IF('Discount factors'!K57&lt;'Input data'!$E$45+1,0,1)</f>
        <v>0</v>
      </c>
      <c r="M57" s="72">
        <f>L57/(1+'Input data'!$D$123/100)^(K57-'Input data'!$E$6)*IF(K57&lt;'Input data'!$E$6,0,1)</f>
        <v>0</v>
      </c>
      <c r="N57" s="78">
        <f t="shared" si="11"/>
        <v>52</v>
      </c>
      <c r="O57" s="52">
        <f>IF(N57&lt;='Input data'!$E$7+'Input data'!$E$45,1,0)*IF(N57&lt;'Input data'!$E$45+1,0,1)</f>
        <v>0</v>
      </c>
      <c r="P57" s="68">
        <f>O57/(1+'Input data'!$E$123/100)^(N57-'Input data'!$E$6)*IF(N57&lt;'Input data'!$E$6,0,1)</f>
        <v>0</v>
      </c>
      <c r="Q57" s="67">
        <f t="shared" si="12"/>
        <v>52</v>
      </c>
      <c r="R57" s="74">
        <f>IF(Q57&lt;='Input data'!$E$7+'Input data'!$E$45,1,0)*IF(Q57&lt;'Input data'!$E$45+1,0,'Input data'!$D$124/'Input data'!$E$11)</f>
        <v>0</v>
      </c>
      <c r="S57" s="72">
        <f>R57/(1+'Input data'!$E$5/100)^(Q57-'Input data'!$E$6)*IF(Q57&lt;'Input data'!$E$6,0,1)</f>
        <v>0</v>
      </c>
      <c r="T57" s="78">
        <f t="shared" si="13"/>
        <v>52</v>
      </c>
      <c r="U57" s="74">
        <f>IF(T57&lt;='Input data'!$E$7+'Input data'!$E$45,1,0)*IF(T57&lt;'Input data'!$E$45+1,0,'Input data'!$E$124/'Input data'!$E$11)</f>
        <v>0</v>
      </c>
      <c r="V57" s="68">
        <f>U57/(1+'Input data'!$E$5/100)^(T57-'Input data'!$E$6)*IF(T57&lt;'Input data'!$E$6,0,1)</f>
        <v>0</v>
      </c>
    </row>
    <row r="58" spans="2:22" ht="15.75" thickBot="1" x14ac:dyDescent="0.3">
      <c r="B58" s="69">
        <f t="shared" si="7"/>
        <v>53</v>
      </c>
      <c r="C58" s="70">
        <f>IF(B58&lt;='Input data'!$E$7+'Input data'!$E$45,1,0)*IF(B58&lt;'Input data'!$E$45+1,0,1)</f>
        <v>0</v>
      </c>
      <c r="D58" s="71">
        <f>C58/(1+'Input data'!$E$5/100)^(B58-'Input data'!$E$6)*IF(B58&lt;'Input data'!$E$6,0,1)</f>
        <v>0</v>
      </c>
      <c r="E58" s="69">
        <f t="shared" si="8"/>
        <v>53</v>
      </c>
      <c r="F58" s="70">
        <f>IF(E58&lt;='Input data'!$D$122+'Input data'!$E$45,1,0)*IF(E58&lt;'Input data'!$E$45+1,0,1)</f>
        <v>0</v>
      </c>
      <c r="G58" s="73">
        <f>F58/(1+'Input data'!$E$5/100)^(E58-'Input data'!$E$6)*IF(E58&lt;'Input data'!$E$6,0,1)</f>
        <v>0</v>
      </c>
      <c r="H58" s="79">
        <f t="shared" si="9"/>
        <v>53</v>
      </c>
      <c r="I58" s="70">
        <f>IF(H58&lt;='Input data'!$E$122+'Input data'!$E$45,1,0)*IF('Discount factors'!H58&lt;'Input data'!$E$45+1,0,1)</f>
        <v>0</v>
      </c>
      <c r="J58" s="71">
        <f>I58/(1+'Input data'!$E$5/100)^(H58-'Input data'!$E$6)*IF(H58&lt;'Input data'!$E$6,0,1)</f>
        <v>0</v>
      </c>
      <c r="K58" s="69">
        <f t="shared" si="10"/>
        <v>53</v>
      </c>
      <c r="L58" s="70">
        <f>IF(K58&lt;='Input data'!$E$7+'Input data'!$E$45,1,0)*IF('Discount factors'!K58&lt;'Input data'!$E$45+1,0,1)</f>
        <v>0</v>
      </c>
      <c r="M58" s="73">
        <f>L58/(1+'Input data'!$D$123/100)^(K58-'Input data'!$E$6)*IF(K58&lt;'Input data'!$E$6,0,1)</f>
        <v>0</v>
      </c>
      <c r="N58" s="79">
        <f t="shared" si="11"/>
        <v>53</v>
      </c>
      <c r="O58" s="70">
        <f>IF(N58&lt;='Input data'!$E$7+'Input data'!$E$45,1,0)*IF(N58&lt;'Input data'!$E$45+1,0,1)</f>
        <v>0</v>
      </c>
      <c r="P58" s="71">
        <f>O58/(1+'Input data'!$E$123/100)^(N58-'Input data'!$E$6)*IF(N58&lt;'Input data'!$E$6,0,1)</f>
        <v>0</v>
      </c>
      <c r="Q58" s="69">
        <f t="shared" si="12"/>
        <v>53</v>
      </c>
      <c r="R58" s="75">
        <f>IF(Q58&lt;='Input data'!$E$7+'Input data'!$E$45,1,0)*IF(Q58&lt;'Input data'!$E$45+1,0,'Input data'!$D$124/'Input data'!$E$11)</f>
        <v>0</v>
      </c>
      <c r="S58" s="73">
        <f>R58/(1+'Input data'!$E$5/100)^(Q58-'Input data'!$E$6)*IF(Q58&lt;'Input data'!$E$6,0,1)</f>
        <v>0</v>
      </c>
      <c r="T58" s="79">
        <f t="shared" si="13"/>
        <v>53</v>
      </c>
      <c r="U58" s="75">
        <f>IF(T58&lt;='Input data'!$E$7+'Input data'!$E$45,1,0)*IF(T58&lt;'Input data'!$E$45+1,0,'Input data'!$E$124/'Input data'!$E$11)</f>
        <v>0</v>
      </c>
      <c r="V58" s="71">
        <f>U58/(1+'Input data'!$E$5/100)^(T58-'Input data'!$E$6)*IF(T58&lt;'Input data'!$E$6,0,1)</f>
        <v>0</v>
      </c>
    </row>
    <row r="59" spans="2:22" x14ac:dyDescent="0.25">
      <c r="B59" s="60"/>
      <c r="C59" s="62" t="s">
        <v>120</v>
      </c>
      <c r="D59" s="63">
        <f>SUM(D6:D58)</f>
        <v>11.528758283675661</v>
      </c>
      <c r="E59" s="60"/>
      <c r="F59" s="62" t="s">
        <v>120</v>
      </c>
      <c r="G59" s="63">
        <f>SUM(G6:G58)</f>
        <v>7.2468879108567581</v>
      </c>
      <c r="H59" s="60"/>
      <c r="I59" s="62" t="s">
        <v>120</v>
      </c>
      <c r="J59" s="63">
        <f>SUM(J6:J58)</f>
        <v>12.878582400446016</v>
      </c>
      <c r="K59" s="60"/>
      <c r="L59" s="62" t="s">
        <v>120</v>
      </c>
      <c r="M59" s="63">
        <f>SUM(M6:M58)</f>
        <v>16.246963141396925</v>
      </c>
      <c r="N59" s="60"/>
      <c r="O59" s="62" t="s">
        <v>120</v>
      </c>
      <c r="P59" s="63">
        <f>SUM(P6:P58)</f>
        <v>8.7843158055122945</v>
      </c>
      <c r="Q59" s="60"/>
      <c r="R59" s="62" t="s">
        <v>120</v>
      </c>
      <c r="S59" s="63">
        <f>SUM(S6:S58)</f>
        <v>8.4159935470832323</v>
      </c>
      <c r="T59" s="60"/>
      <c r="U59" s="62" t="s">
        <v>120</v>
      </c>
      <c r="V59" s="63">
        <f>SUM(V6:V58)</f>
        <v>12.022847924404619</v>
      </c>
    </row>
  </sheetData>
  <sheetProtection algorithmName="SHA-512" hashValue="XfYyo8l80aC94JgvU4ik3lF1zHDyR96zOcmG9ZzpEVHvlyiWgrVYadNBo34AbKslnucWpeT+3qCRri0vDkKCLA==" saltValue="As4Hg4stz/wdAZpis1srzw==" spinCount="100000" sheet="1" objects="1" scenarios="1"/>
  <mergeCells count="11">
    <mergeCell ref="E2:V2"/>
    <mergeCell ref="B2:D4"/>
    <mergeCell ref="Q3:V3"/>
    <mergeCell ref="Q4:S4"/>
    <mergeCell ref="T4:V4"/>
    <mergeCell ref="E3:J3"/>
    <mergeCell ref="E4:G4"/>
    <mergeCell ref="H4:J4"/>
    <mergeCell ref="K3:P3"/>
    <mergeCell ref="K4:M4"/>
    <mergeCell ref="N4:P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B3:L48"/>
  <sheetViews>
    <sheetView zoomScaleNormal="100" workbookViewId="0">
      <selection activeCell="K5" sqref="K5"/>
    </sheetView>
  </sheetViews>
  <sheetFormatPr defaultRowHeight="15" x14ac:dyDescent="0.25"/>
  <cols>
    <col min="2" max="2" width="3.28515625" customWidth="1"/>
    <col min="3" max="3" width="41.85546875" bestFit="1" customWidth="1"/>
    <col min="4" max="4" width="13.140625" customWidth="1"/>
    <col min="5" max="5" width="9.85546875" customWidth="1"/>
    <col min="6" max="6" width="13.140625" customWidth="1"/>
    <col min="7" max="7" width="12.7109375" customWidth="1"/>
    <col min="8" max="8" width="10.42578125" customWidth="1"/>
    <col min="9" max="9" width="9.140625" bestFit="1" customWidth="1"/>
    <col min="10" max="10" width="13.28515625" customWidth="1"/>
    <col min="11" max="11" width="15.5703125" customWidth="1"/>
    <col min="12" max="12" width="10.140625" bestFit="1" customWidth="1"/>
  </cols>
  <sheetData>
    <row r="3" spans="2:12" ht="18" x14ac:dyDescent="0.35">
      <c r="B3" s="2" t="s">
        <v>76</v>
      </c>
      <c r="D3" s="189" t="s">
        <v>87</v>
      </c>
      <c r="E3" s="190"/>
      <c r="F3" s="190"/>
      <c r="G3" s="191"/>
      <c r="H3" s="189" t="s">
        <v>38</v>
      </c>
      <c r="I3" s="190"/>
      <c r="J3" s="191"/>
      <c r="K3" s="187" t="s">
        <v>12</v>
      </c>
      <c r="L3" s="187" t="s">
        <v>14</v>
      </c>
    </row>
    <row r="4" spans="2:12" ht="33" x14ac:dyDescent="0.25">
      <c r="C4" s="6"/>
      <c r="D4" s="32" t="s">
        <v>13</v>
      </c>
      <c r="E4" s="33" t="s">
        <v>7</v>
      </c>
      <c r="F4" s="33" t="s">
        <v>8</v>
      </c>
      <c r="G4" s="34" t="s">
        <v>88</v>
      </c>
      <c r="H4" s="32" t="s">
        <v>9</v>
      </c>
      <c r="I4" s="33" t="s">
        <v>10</v>
      </c>
      <c r="J4" s="34" t="s">
        <v>11</v>
      </c>
      <c r="K4" s="192"/>
      <c r="L4" s="188"/>
    </row>
    <row r="5" spans="2:12" x14ac:dyDescent="0.25">
      <c r="C5" s="20" t="s">
        <v>0</v>
      </c>
      <c r="D5" s="110">
        <f>'Input data'!D27</f>
        <v>0</v>
      </c>
      <c r="E5" s="111">
        <f>'Input data'!E27</f>
        <v>17500</v>
      </c>
      <c r="F5" s="111">
        <f>'Input data'!F27</f>
        <v>7500</v>
      </c>
      <c r="G5" s="112">
        <f>'Input data'!G27</f>
        <v>4420</v>
      </c>
      <c r="H5" s="110">
        <f>'Input data'!H27</f>
        <v>17620</v>
      </c>
      <c r="I5" s="111">
        <f>'Input data'!I27</f>
        <v>2220</v>
      </c>
      <c r="J5" s="112">
        <f>'Input data'!J27</f>
        <v>820</v>
      </c>
      <c r="K5" s="29">
        <f>'Input data'!K27</f>
        <v>15500</v>
      </c>
      <c r="L5" s="29">
        <f>SUM(D5:K5)</f>
        <v>65580</v>
      </c>
    </row>
    <row r="6" spans="2:12" x14ac:dyDescent="0.25">
      <c r="C6" s="21" t="s">
        <v>1</v>
      </c>
      <c r="D6" s="83">
        <f>'Input data'!D28</f>
        <v>0</v>
      </c>
      <c r="E6" s="11">
        <f>'Input data'!E28</f>
        <v>10300</v>
      </c>
      <c r="F6" s="11">
        <f>'Input data'!F28</f>
        <v>4400</v>
      </c>
      <c r="G6" s="22">
        <f>'Input data'!G28</f>
        <v>3000</v>
      </c>
      <c r="H6" s="83">
        <f>'Input data'!H28</f>
        <v>10000</v>
      </c>
      <c r="I6" s="11">
        <f>'Input data'!I28</f>
        <v>1600</v>
      </c>
      <c r="J6" s="22">
        <f>'Input data'!J28</f>
        <v>500</v>
      </c>
      <c r="K6" s="28">
        <f>'Input data'!K28</f>
        <v>19600</v>
      </c>
      <c r="L6" s="28">
        <f>SUM(D6:K6)</f>
        <v>49400</v>
      </c>
    </row>
    <row r="7" spans="2:12" x14ac:dyDescent="0.25">
      <c r="C7" s="30" t="s">
        <v>2</v>
      </c>
      <c r="D7" s="24">
        <f t="shared" ref="D7:K7" si="0">D6+D5</f>
        <v>0</v>
      </c>
      <c r="E7" s="13">
        <f t="shared" si="0"/>
        <v>27800</v>
      </c>
      <c r="F7" s="13">
        <f t="shared" si="0"/>
        <v>11900</v>
      </c>
      <c r="G7" s="25">
        <f t="shared" si="0"/>
        <v>7420</v>
      </c>
      <c r="H7" s="24">
        <f t="shared" si="0"/>
        <v>27620</v>
      </c>
      <c r="I7" s="13">
        <f t="shared" si="0"/>
        <v>3820</v>
      </c>
      <c r="J7" s="25">
        <f t="shared" si="0"/>
        <v>1320</v>
      </c>
      <c r="K7" s="27">
        <f t="shared" si="0"/>
        <v>35100</v>
      </c>
      <c r="L7" s="27">
        <f t="shared" ref="L7:L17" si="1">SUM(D7:K7)</f>
        <v>114980</v>
      </c>
    </row>
    <row r="8" spans="2:12" x14ac:dyDescent="0.25">
      <c r="C8" s="21" t="s">
        <v>3</v>
      </c>
      <c r="D8" s="83">
        <f>'Input data'!D29</f>
        <v>0</v>
      </c>
      <c r="E8" s="11">
        <f>'Input data'!E29</f>
        <v>1600</v>
      </c>
      <c r="F8" s="11">
        <f>'Input data'!F29</f>
        <v>700</v>
      </c>
      <c r="G8" s="22">
        <f>'Input data'!G29</f>
        <v>500</v>
      </c>
      <c r="H8" s="83">
        <f>'Input data'!H29</f>
        <v>1500</v>
      </c>
      <c r="I8" s="11">
        <f>'Input data'!I29</f>
        <v>200</v>
      </c>
      <c r="J8" s="22">
        <f>'Input data'!J29</f>
        <v>100</v>
      </c>
      <c r="K8" s="28">
        <f>'Input data'!K29</f>
        <v>1000</v>
      </c>
      <c r="L8" s="28">
        <f>SUM(D8:K8)</f>
        <v>5600</v>
      </c>
    </row>
    <row r="9" spans="2:12" x14ac:dyDescent="0.25">
      <c r="C9" s="21" t="s">
        <v>4</v>
      </c>
      <c r="D9" s="83">
        <f>'Input data'!D30</f>
        <v>0</v>
      </c>
      <c r="E9" s="11">
        <f>'Input data'!E30</f>
        <v>5600</v>
      </c>
      <c r="F9" s="11">
        <f>'Input data'!F30</f>
        <v>2400</v>
      </c>
      <c r="G9" s="22">
        <f>'Input data'!G30</f>
        <v>1500</v>
      </c>
      <c r="H9" s="83">
        <f>'Input data'!H30</f>
        <v>5500</v>
      </c>
      <c r="I9" s="11">
        <f>'Input data'!I30</f>
        <v>800</v>
      </c>
      <c r="J9" s="22">
        <f>'Input data'!J30</f>
        <v>300</v>
      </c>
      <c r="K9" s="28">
        <f>'Input data'!K30</f>
        <v>7000</v>
      </c>
      <c r="L9" s="28">
        <f>SUM(D9:K9)</f>
        <v>23100</v>
      </c>
    </row>
    <row r="10" spans="2:12" x14ac:dyDescent="0.25">
      <c r="C10" s="30" t="s">
        <v>5</v>
      </c>
      <c r="D10" s="24">
        <f t="shared" ref="D10:K10" si="2">D7+D8+D9</f>
        <v>0</v>
      </c>
      <c r="E10" s="13">
        <f t="shared" si="2"/>
        <v>35000</v>
      </c>
      <c r="F10" s="13">
        <f t="shared" si="2"/>
        <v>15000</v>
      </c>
      <c r="G10" s="25">
        <f t="shared" si="2"/>
        <v>9420</v>
      </c>
      <c r="H10" s="24">
        <f t="shared" si="2"/>
        <v>34620</v>
      </c>
      <c r="I10" s="13">
        <f t="shared" si="2"/>
        <v>4820</v>
      </c>
      <c r="J10" s="25">
        <f t="shared" si="2"/>
        <v>1720</v>
      </c>
      <c r="K10" s="27">
        <f t="shared" si="2"/>
        <v>43100</v>
      </c>
      <c r="L10" s="27">
        <f t="shared" si="1"/>
        <v>143680</v>
      </c>
    </row>
    <row r="11" spans="2:12" x14ac:dyDescent="0.25">
      <c r="C11" s="21" t="s">
        <v>86</v>
      </c>
      <c r="D11" s="26">
        <f>D$10*('Input data'!$E$34/100)</f>
        <v>0</v>
      </c>
      <c r="E11" s="11">
        <f>E$10*('Input data'!$E$34/100)</f>
        <v>5250</v>
      </c>
      <c r="F11" s="11">
        <f>F$10*('Input data'!$E$34/100)</f>
        <v>2250</v>
      </c>
      <c r="G11" s="22">
        <f>G$10*('Input data'!$E$34/100)</f>
        <v>1413</v>
      </c>
      <c r="H11" s="26">
        <f>H$10*('Input data'!$E$34/100)</f>
        <v>5193</v>
      </c>
      <c r="I11" s="11">
        <f>I$10*('Input data'!$E$34/100)</f>
        <v>723</v>
      </c>
      <c r="J11" s="22">
        <f>J$10*('Input data'!$E$34/100)</f>
        <v>258</v>
      </c>
      <c r="K11" s="28">
        <f>K$10*('Input data'!$E$34/100)</f>
        <v>6465</v>
      </c>
      <c r="L11" s="28">
        <f t="shared" si="1"/>
        <v>21552</v>
      </c>
    </row>
    <row r="12" spans="2:12" x14ac:dyDescent="0.25">
      <c r="C12" s="30" t="s">
        <v>6</v>
      </c>
      <c r="D12" s="193">
        <f>SUM(D10:G11)</f>
        <v>68333</v>
      </c>
      <c r="E12" s="194"/>
      <c r="F12" s="194"/>
      <c r="G12" s="195"/>
      <c r="H12" s="193">
        <f>SUM(H10:J11)</f>
        <v>47334</v>
      </c>
      <c r="I12" s="194"/>
      <c r="J12" s="195"/>
      <c r="K12" s="27">
        <f>K10+K11</f>
        <v>49565</v>
      </c>
      <c r="L12" s="27">
        <f t="shared" si="1"/>
        <v>165232</v>
      </c>
    </row>
    <row r="13" spans="2:12" x14ac:dyDescent="0.25">
      <c r="C13" s="21" t="s">
        <v>56</v>
      </c>
      <c r="D13" s="196">
        <f>D12*'Input data'!$H$37/100</f>
        <v>341.66500000000002</v>
      </c>
      <c r="E13" s="144"/>
      <c r="F13" s="144"/>
      <c r="G13" s="197"/>
      <c r="H13" s="196">
        <f>H12*'Input data'!$H$37/100</f>
        <v>236.67</v>
      </c>
      <c r="I13" s="144"/>
      <c r="J13" s="197"/>
      <c r="K13" s="28">
        <f>K12*'Input data'!$H$37/100</f>
        <v>247.82499999999999</v>
      </c>
      <c r="L13" s="28">
        <f t="shared" si="1"/>
        <v>826.16000000000008</v>
      </c>
    </row>
    <row r="14" spans="2:12" x14ac:dyDescent="0.25">
      <c r="C14" s="21" t="s">
        <v>57</v>
      </c>
      <c r="D14" s="196">
        <f>'Input data'!$H$39/12*SUM($D$28:$G$30)+'Input data'!$H$40/100*1/12*$D$27</f>
        <v>151.80599999999995</v>
      </c>
      <c r="E14" s="144"/>
      <c r="F14" s="144"/>
      <c r="G14" s="197"/>
      <c r="H14" s="196">
        <f>'Input data'!$H$39/12*SUM($H$28:$J$30)+'Input data'!$H$40/100*1/12*$H$27</f>
        <v>268.41809130079992</v>
      </c>
      <c r="I14" s="144"/>
      <c r="J14" s="197"/>
      <c r="K14" s="28">
        <f>'Input data'!$H$39/12*SUM($K$28:$K$30)+'Input data'!$H$40/100*1/12*$K$27</f>
        <v>0</v>
      </c>
      <c r="L14" s="28">
        <f t="shared" si="1"/>
        <v>420.22409130079984</v>
      </c>
    </row>
    <row r="15" spans="2:12" x14ac:dyDescent="0.25">
      <c r="C15" s="21" t="s">
        <v>58</v>
      </c>
      <c r="D15" s="196">
        <f>'Input data'!$H$38/12*$D$23+D12*'Input data'!$H$41/100</f>
        <v>1566.66</v>
      </c>
      <c r="E15" s="144"/>
      <c r="F15" s="144"/>
      <c r="G15" s="197"/>
      <c r="H15" s="196">
        <f>'Input data'!$H$38/12*$H$23+H12*'Input data'!$H$41/100</f>
        <v>1146.6799999999998</v>
      </c>
      <c r="I15" s="144"/>
      <c r="J15" s="197"/>
      <c r="K15" s="28">
        <f>'Input data'!$H$38/12*$K$23+K12*'Input data'!$H$41/100</f>
        <v>991.3</v>
      </c>
      <c r="L15" s="28">
        <f t="shared" si="1"/>
        <v>3704.6400000000003</v>
      </c>
    </row>
    <row r="16" spans="2:12" x14ac:dyDescent="0.25">
      <c r="C16" s="31" t="s">
        <v>47</v>
      </c>
      <c r="D16" s="196">
        <f>D12*'Input data'!$H$42/100</f>
        <v>4783.3100000000004</v>
      </c>
      <c r="E16" s="144">
        <f>E12*'Input data'!$H$42/100</f>
        <v>0</v>
      </c>
      <c r="F16" s="144">
        <f>F12*'Input data'!$H$42/100</f>
        <v>0</v>
      </c>
      <c r="G16" s="197">
        <f>G12*'Input data'!$H$42/100</f>
        <v>0</v>
      </c>
      <c r="H16" s="196">
        <f>H12*'Input data'!$H$42/100</f>
        <v>3313.38</v>
      </c>
      <c r="I16" s="144">
        <f>I12*'Input data'!$H$42/100</f>
        <v>0</v>
      </c>
      <c r="J16" s="197">
        <f>J12*'Input data'!$H$42/100</f>
        <v>0</v>
      </c>
      <c r="K16" s="28">
        <f>K12*'Input data'!$H$42/100</f>
        <v>3469.55</v>
      </c>
      <c r="L16" s="28">
        <f t="shared" si="1"/>
        <v>11566.240000000002</v>
      </c>
    </row>
    <row r="17" spans="2:12" x14ac:dyDescent="0.25">
      <c r="C17" s="21" t="s">
        <v>33</v>
      </c>
      <c r="D17" s="196">
        <f>D12*('Input data'!$D$48-1)</f>
        <v>10874.677619200009</v>
      </c>
      <c r="E17" s="144">
        <f>E12*('Input data'!$D$48-1)</f>
        <v>0</v>
      </c>
      <c r="F17" s="144">
        <f>F12*('Input data'!$D$48-1)</f>
        <v>0</v>
      </c>
      <c r="G17" s="197">
        <f>G12*('Input data'!$D$48-1)</f>
        <v>0</v>
      </c>
      <c r="H17" s="196">
        <f>H12*('Input data'!$D$48-1)</f>
        <v>7532.8463616000063</v>
      </c>
      <c r="I17" s="144">
        <f>I12*('Input data'!$D$48-1)</f>
        <v>0</v>
      </c>
      <c r="J17" s="197">
        <f>J12*('Input data'!$D$48-1)</f>
        <v>0</v>
      </c>
      <c r="K17" s="28">
        <f>K12*('Input data'!$D$48-1)</f>
        <v>7887.8930560000063</v>
      </c>
      <c r="L17" s="28">
        <f t="shared" si="1"/>
        <v>26295.41703680002</v>
      </c>
    </row>
    <row r="18" spans="2:12" x14ac:dyDescent="0.25">
      <c r="C18" s="23" t="s">
        <v>15</v>
      </c>
      <c r="D18" s="198">
        <f>SUM(D12:G17)</f>
        <v>86051.118619200002</v>
      </c>
      <c r="E18" s="199"/>
      <c r="F18" s="199"/>
      <c r="G18" s="200"/>
      <c r="H18" s="198">
        <f>SUM(H12:J17)</f>
        <v>59831.994452900806</v>
      </c>
      <c r="I18" s="201"/>
      <c r="J18" s="202"/>
      <c r="K18" s="15">
        <f>SUM(K12:K17)</f>
        <v>62161.568056000011</v>
      </c>
      <c r="L18" s="15">
        <f>SUM(L12:L17)</f>
        <v>208044.68112810084</v>
      </c>
    </row>
    <row r="19" spans="2:12" x14ac:dyDescent="0.25">
      <c r="D19" s="1"/>
      <c r="E19" s="1"/>
      <c r="F19" s="1"/>
      <c r="G19" s="1"/>
      <c r="H19" s="1"/>
      <c r="I19" s="1"/>
      <c r="J19" s="1"/>
      <c r="K19" s="1"/>
      <c r="L19" s="1"/>
    </row>
    <row r="20" spans="2:12" x14ac:dyDescent="0.25">
      <c r="B20" s="2" t="s">
        <v>82</v>
      </c>
      <c r="D20" s="1"/>
      <c r="E20" s="1"/>
      <c r="F20" s="1"/>
      <c r="G20" s="1"/>
      <c r="H20" s="1"/>
      <c r="I20" s="1"/>
      <c r="J20" s="1"/>
      <c r="K20" s="1"/>
      <c r="L20" s="1"/>
    </row>
    <row r="21" spans="2:12" ht="18" x14ac:dyDescent="0.35">
      <c r="D21" s="189" t="s">
        <v>87</v>
      </c>
      <c r="E21" s="190"/>
      <c r="F21" s="190"/>
      <c r="G21" s="191"/>
      <c r="H21" s="189" t="s">
        <v>38</v>
      </c>
      <c r="I21" s="190"/>
      <c r="J21" s="191"/>
      <c r="K21" s="187" t="s">
        <v>12</v>
      </c>
      <c r="L21" s="187" t="s">
        <v>14</v>
      </c>
    </row>
    <row r="22" spans="2:12" ht="33" x14ac:dyDescent="0.25">
      <c r="C22" s="6"/>
      <c r="D22" s="32" t="s">
        <v>13</v>
      </c>
      <c r="E22" s="33" t="s">
        <v>7</v>
      </c>
      <c r="F22" s="33" t="s">
        <v>8</v>
      </c>
      <c r="G22" s="34" t="s">
        <v>88</v>
      </c>
      <c r="H22" s="32" t="s">
        <v>9</v>
      </c>
      <c r="I22" s="33" t="s">
        <v>10</v>
      </c>
      <c r="J22" s="34" t="s">
        <v>11</v>
      </c>
      <c r="K22" s="192"/>
      <c r="L22" s="188"/>
    </row>
    <row r="23" spans="2:12" x14ac:dyDescent="0.25">
      <c r="C23" s="16" t="s">
        <v>39</v>
      </c>
      <c r="D23" s="205">
        <f>'Input data'!$E$54*'Input data'!$F$56/1000</f>
        <v>800</v>
      </c>
      <c r="E23" s="206"/>
      <c r="F23" s="206"/>
      <c r="G23" s="207"/>
      <c r="H23" s="205">
        <f>'Input data'!$G$54*'Input data'!$F$56/1000</f>
        <v>800</v>
      </c>
      <c r="I23" s="206"/>
      <c r="J23" s="207"/>
      <c r="K23" s="19">
        <f>'Input data'!$H$54*'Input data'!$F$56/1000</f>
        <v>0</v>
      </c>
      <c r="L23" s="19">
        <f t="shared" ref="L23:L32" si="3">SUM(D23:K23)</f>
        <v>1600</v>
      </c>
    </row>
    <row r="24" spans="2:12" x14ac:dyDescent="0.25">
      <c r="C24" s="17" t="s">
        <v>40</v>
      </c>
      <c r="D24" s="203">
        <f>(SUM(D10:D11)*'Input data'!$F$59+SUM(E10:G11)*'Input data'!$F$60)/100/('Input data'!$F$66/100)</f>
        <v>2277.7666666666669</v>
      </c>
      <c r="E24" s="161"/>
      <c r="F24" s="161"/>
      <c r="G24" s="204"/>
      <c r="H24" s="203">
        <f>(SUM(H10:H11)*'Input data'!$F$61+SUM(I10:J11)*'Input data'!$F$62)/100/('Input data'!$F$66/100)</f>
        <v>1784.2250000000001</v>
      </c>
      <c r="I24" s="161"/>
      <c r="J24" s="204"/>
      <c r="K24" s="14">
        <f>SUM(K10:K11)*'Input data'!$F$63/100/('Input data'!$F$66/100)</f>
        <v>826.08333333333337</v>
      </c>
      <c r="L24" s="14">
        <f t="shared" si="3"/>
        <v>4888.0749999999998</v>
      </c>
    </row>
    <row r="25" spans="2:12" x14ac:dyDescent="0.25">
      <c r="C25" s="17" t="s">
        <v>41</v>
      </c>
      <c r="D25" s="203">
        <f>D12*'Input data'!$F$69/100</f>
        <v>341.66500000000002</v>
      </c>
      <c r="E25" s="161"/>
      <c r="F25" s="161"/>
      <c r="G25" s="204"/>
      <c r="H25" s="203">
        <f>H12*'Input data'!$F$69/100</f>
        <v>236.67</v>
      </c>
      <c r="I25" s="161"/>
      <c r="J25" s="204"/>
      <c r="K25" s="14">
        <f>K12*'Input data'!$F$69/100</f>
        <v>247.82499999999999</v>
      </c>
      <c r="L25" s="14">
        <f t="shared" si="3"/>
        <v>826.16000000000008</v>
      </c>
    </row>
    <row r="26" spans="2:12" x14ac:dyDescent="0.25">
      <c r="C26" s="18" t="s">
        <v>17</v>
      </c>
      <c r="D26" s="198">
        <f>SUM(D23:G25)</f>
        <v>3419.4316666666668</v>
      </c>
      <c r="E26" s="199"/>
      <c r="F26" s="199"/>
      <c r="G26" s="200"/>
      <c r="H26" s="198">
        <f>SUM(H23:J25)</f>
        <v>2820.8950000000004</v>
      </c>
      <c r="I26" s="199"/>
      <c r="J26" s="200"/>
      <c r="K26" s="15">
        <f>SUM(K23:K25)</f>
        <v>1073.9083333333333</v>
      </c>
      <c r="L26" s="15">
        <f t="shared" si="3"/>
        <v>7314.2350000000006</v>
      </c>
    </row>
    <row r="27" spans="2:12" x14ac:dyDescent="0.25">
      <c r="C27" s="16" t="s">
        <v>42</v>
      </c>
      <c r="D27" s="205">
        <v>0</v>
      </c>
      <c r="E27" s="206"/>
      <c r="F27" s="206"/>
      <c r="G27" s="207"/>
      <c r="H27" s="205">
        <f>'Input data'!$G$85*'Input data'!$F$93/1000</f>
        <v>12411.652382438398</v>
      </c>
      <c r="I27" s="206"/>
      <c r="J27" s="207"/>
      <c r="K27" s="19">
        <v>0</v>
      </c>
      <c r="L27" s="19">
        <f t="shared" si="3"/>
        <v>12411.652382438398</v>
      </c>
    </row>
    <row r="28" spans="2:12" x14ac:dyDescent="0.25">
      <c r="C28" s="17" t="s">
        <v>43</v>
      </c>
      <c r="D28" s="203">
        <f>('Input data'!$E$86*'Input data'!$F$94+'Input data'!$E$87*'Input data'!$F$95+'Input data'!$E$88*'Input data'!$F$96)/1000</f>
        <v>1443.6719999999996</v>
      </c>
      <c r="E28" s="161"/>
      <c r="F28" s="161"/>
      <c r="G28" s="204"/>
      <c r="H28" s="203">
        <v>0</v>
      </c>
      <c r="I28" s="161"/>
      <c r="J28" s="204"/>
      <c r="K28" s="14">
        <v>0</v>
      </c>
      <c r="L28" s="14">
        <f t="shared" si="3"/>
        <v>1443.6719999999996</v>
      </c>
    </row>
    <row r="29" spans="2:12" x14ac:dyDescent="0.25">
      <c r="C29" s="17" t="s">
        <v>44</v>
      </c>
      <c r="D29" s="203">
        <v>0</v>
      </c>
      <c r="E29" s="161"/>
      <c r="F29" s="161"/>
      <c r="G29" s="204"/>
      <c r="H29" s="203">
        <f>'Input data'!$G$89*'Input data'!$F$97/1000</f>
        <v>118.10399999999998</v>
      </c>
      <c r="I29" s="161"/>
      <c r="J29" s="204"/>
      <c r="K29" s="14">
        <v>0</v>
      </c>
      <c r="L29" s="14">
        <f t="shared" si="3"/>
        <v>118.10399999999998</v>
      </c>
    </row>
    <row r="30" spans="2:12" x14ac:dyDescent="0.25">
      <c r="C30" s="17" t="s">
        <v>45</v>
      </c>
      <c r="D30" s="203">
        <f>('Input data'!$E$90*'Input data'!$F$98+'Input data'!$E$88*'Input data'!$F$99)/1000</f>
        <v>377.99999999999994</v>
      </c>
      <c r="E30" s="161"/>
      <c r="F30" s="161"/>
      <c r="G30" s="204"/>
      <c r="H30" s="203">
        <v>0</v>
      </c>
      <c r="I30" s="161"/>
      <c r="J30" s="204"/>
      <c r="K30" s="14">
        <v>0</v>
      </c>
      <c r="L30" s="14">
        <f t="shared" si="3"/>
        <v>377.99999999999994</v>
      </c>
    </row>
    <row r="31" spans="2:12" x14ac:dyDescent="0.25">
      <c r="C31" s="18" t="s">
        <v>18</v>
      </c>
      <c r="D31" s="198">
        <f>SUM(D27:G30)</f>
        <v>1821.6719999999996</v>
      </c>
      <c r="E31" s="199"/>
      <c r="F31" s="199"/>
      <c r="G31" s="200"/>
      <c r="H31" s="198">
        <f>SUM(H27:J30)</f>
        <v>12529.756382438398</v>
      </c>
      <c r="I31" s="199"/>
      <c r="J31" s="200"/>
      <c r="K31" s="15">
        <f>SUM(K27:K30)</f>
        <v>0</v>
      </c>
      <c r="L31" s="15">
        <f t="shared" si="3"/>
        <v>14351.428382438397</v>
      </c>
    </row>
    <row r="32" spans="2:12" x14ac:dyDescent="0.25">
      <c r="C32" s="18" t="s">
        <v>16</v>
      </c>
      <c r="D32" s="198">
        <f>D31+D26</f>
        <v>5241.103666666666</v>
      </c>
      <c r="E32" s="199"/>
      <c r="F32" s="199"/>
      <c r="G32" s="200"/>
      <c r="H32" s="198">
        <f>H26+H31</f>
        <v>15350.651382438398</v>
      </c>
      <c r="I32" s="199"/>
      <c r="J32" s="200"/>
      <c r="K32" s="15">
        <f>K26+K31</f>
        <v>1073.9083333333333</v>
      </c>
      <c r="L32" s="15">
        <f t="shared" si="3"/>
        <v>21665.663382438397</v>
      </c>
    </row>
    <row r="35" spans="2:12" ht="18" x14ac:dyDescent="0.35">
      <c r="D35" s="189" t="s">
        <v>87</v>
      </c>
      <c r="E35" s="190"/>
      <c r="F35" s="190"/>
      <c r="G35" s="191"/>
      <c r="H35" s="189" t="s">
        <v>38</v>
      </c>
      <c r="I35" s="190"/>
      <c r="J35" s="191"/>
      <c r="K35" s="187" t="s">
        <v>12</v>
      </c>
      <c r="L35" s="187" t="s">
        <v>14</v>
      </c>
    </row>
    <row r="36" spans="2:12" ht="33" x14ac:dyDescent="0.25">
      <c r="C36" t="s">
        <v>92</v>
      </c>
      <c r="D36" s="32" t="s">
        <v>13</v>
      </c>
      <c r="E36" s="33" t="s">
        <v>7</v>
      </c>
      <c r="F36" s="33" t="s">
        <v>8</v>
      </c>
      <c r="G36" s="34" t="s">
        <v>88</v>
      </c>
      <c r="H36" s="32" t="s">
        <v>9</v>
      </c>
      <c r="I36" s="33" t="s">
        <v>10</v>
      </c>
      <c r="J36" s="34" t="s">
        <v>11</v>
      </c>
      <c r="K36" s="192"/>
      <c r="L36" s="188"/>
    </row>
    <row r="37" spans="2:12" x14ac:dyDescent="0.25">
      <c r="C37" s="47" t="s">
        <v>90</v>
      </c>
      <c r="D37" s="208">
        <v>0</v>
      </c>
      <c r="E37" s="209"/>
      <c r="F37" s="209"/>
      <c r="G37" s="209"/>
      <c r="H37" s="208">
        <f>-'Input data'!F106*'Input data'!F107/1000*IF('Input data'!F103="No",0,1)</f>
        <v>0</v>
      </c>
      <c r="I37" s="209"/>
      <c r="J37" s="209"/>
      <c r="K37" s="48">
        <v>0</v>
      </c>
      <c r="L37" s="48">
        <f>SUM(D37:K37)</f>
        <v>0</v>
      </c>
    </row>
    <row r="39" spans="2:12" x14ac:dyDescent="0.25">
      <c r="B39" s="2" t="s">
        <v>83</v>
      </c>
    </row>
    <row r="40" spans="2:12" x14ac:dyDescent="0.25">
      <c r="C40" s="6"/>
      <c r="D40" s="38" t="s">
        <v>37</v>
      </c>
    </row>
    <row r="41" spans="2:12" x14ac:dyDescent="0.25">
      <c r="C41" s="35" t="s">
        <v>19</v>
      </c>
      <c r="D41" s="36">
        <f>$L$18/'Input data'!$E$8</f>
        <v>18045.714552163456</v>
      </c>
    </row>
    <row r="42" spans="2:12" x14ac:dyDescent="0.25">
      <c r="C42" s="21" t="s">
        <v>20</v>
      </c>
      <c r="D42" s="37">
        <f>$L$32</f>
        <v>21665.663382438397</v>
      </c>
    </row>
    <row r="43" spans="2:12" x14ac:dyDescent="0.25">
      <c r="C43" s="21" t="s">
        <v>92</v>
      </c>
      <c r="D43" s="37">
        <f>$L$37</f>
        <v>0</v>
      </c>
    </row>
    <row r="44" spans="2:12" x14ac:dyDescent="0.25">
      <c r="C44" s="23" t="s">
        <v>21</v>
      </c>
      <c r="D44" s="39">
        <f>SUM(D41:D43)</f>
        <v>39711.377934601856</v>
      </c>
    </row>
    <row r="45" spans="2:12" x14ac:dyDescent="0.25">
      <c r="D45" s="3"/>
    </row>
    <row r="46" spans="2:12" x14ac:dyDescent="0.25">
      <c r="D46" s="3"/>
    </row>
    <row r="47" spans="2:12" ht="18" x14ac:dyDescent="0.35">
      <c r="C47" s="12" t="s">
        <v>110</v>
      </c>
      <c r="D47" s="40">
        <f>$D$44/'Input data'!$F$19</f>
        <v>125.75467715175348</v>
      </c>
    </row>
    <row r="48" spans="2:12" ht="18" x14ac:dyDescent="0.35">
      <c r="C48" s="12" t="s">
        <v>102</v>
      </c>
      <c r="D48" s="41">
        <f>$D$44/'Input data'!$F$20</f>
        <v>189.81492148778992</v>
      </c>
    </row>
  </sheetData>
  <sheetProtection algorithmName="SHA-512" hashValue="IJs+9PIyKvzlQYDDoSW6FWNZgJ9BxIkRu2sAwBG6/hzMqyzKjV0Xu3JYCGsZRpqas/9K8WBThBE2GuLn96W2oA==" saltValue="ftKmzV7qRHeDvZwwq5E9jw==" spinCount="100000" sheet="1" objects="1" scenarios="1"/>
  <mergeCells count="48">
    <mergeCell ref="K35:K36"/>
    <mergeCell ref="L35:L36"/>
    <mergeCell ref="H15:J15"/>
    <mergeCell ref="D16:G16"/>
    <mergeCell ref="H16:J16"/>
    <mergeCell ref="D26:G26"/>
    <mergeCell ref="H26:J26"/>
    <mergeCell ref="H23:J23"/>
    <mergeCell ref="H24:J24"/>
    <mergeCell ref="H25:J25"/>
    <mergeCell ref="D28:G28"/>
    <mergeCell ref="D29:G29"/>
    <mergeCell ref="H31:J31"/>
    <mergeCell ref="H27:J27"/>
    <mergeCell ref="H28:J28"/>
    <mergeCell ref="H29:J29"/>
    <mergeCell ref="D37:G37"/>
    <mergeCell ref="H37:J37"/>
    <mergeCell ref="D35:G35"/>
    <mergeCell ref="H35:J35"/>
    <mergeCell ref="D32:G32"/>
    <mergeCell ref="H32:J32"/>
    <mergeCell ref="D31:G31"/>
    <mergeCell ref="D27:G27"/>
    <mergeCell ref="D23:G23"/>
    <mergeCell ref="D24:G24"/>
    <mergeCell ref="D25:G25"/>
    <mergeCell ref="D15:G15"/>
    <mergeCell ref="H3:J3"/>
    <mergeCell ref="K3:K4"/>
    <mergeCell ref="H30:J30"/>
    <mergeCell ref="D30:G30"/>
    <mergeCell ref="L3:L4"/>
    <mergeCell ref="D21:G21"/>
    <mergeCell ref="H21:J21"/>
    <mergeCell ref="K21:K22"/>
    <mergeCell ref="L21:L22"/>
    <mergeCell ref="D12:G12"/>
    <mergeCell ref="H12:J12"/>
    <mergeCell ref="D17:G17"/>
    <mergeCell ref="H17:J17"/>
    <mergeCell ref="D18:G18"/>
    <mergeCell ref="H18:J18"/>
    <mergeCell ref="D13:G13"/>
    <mergeCell ref="H13:J13"/>
    <mergeCell ref="H14:J14"/>
    <mergeCell ref="D3:G3"/>
    <mergeCell ref="D14:G14"/>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B1:H17"/>
  <sheetViews>
    <sheetView zoomScaleNormal="100" workbookViewId="0">
      <selection activeCell="D17" sqref="D17"/>
    </sheetView>
  </sheetViews>
  <sheetFormatPr defaultRowHeight="15" x14ac:dyDescent="0.25"/>
  <cols>
    <col min="2" max="2" width="3.140625" customWidth="1"/>
    <col min="3" max="3" width="22.42578125" customWidth="1"/>
    <col min="4" max="4" width="18.85546875" customWidth="1"/>
  </cols>
  <sheetData>
    <row r="1" spans="2:8" x14ac:dyDescent="0.25">
      <c r="B1" s="7"/>
      <c r="C1" s="7"/>
      <c r="D1" s="6"/>
    </row>
    <row r="2" spans="2:8" ht="28.5" x14ac:dyDescent="0.25">
      <c r="B2" s="96"/>
      <c r="C2" s="96"/>
      <c r="D2" s="97" t="s">
        <v>127</v>
      </c>
    </row>
    <row r="3" spans="2:8" x14ac:dyDescent="0.25">
      <c r="B3" s="210" t="s">
        <v>128</v>
      </c>
      <c r="C3" s="211"/>
      <c r="D3" s="98">
        <f>SUM(D4:D6)</f>
        <v>60.728840595826021</v>
      </c>
      <c r="F3" t="s">
        <v>38</v>
      </c>
      <c r="G3" s="44" t="s">
        <v>108</v>
      </c>
      <c r="H3" s="50">
        <f>D10+D12</f>
        <v>59.325990309026672</v>
      </c>
    </row>
    <row r="4" spans="2:8" x14ac:dyDescent="0.25">
      <c r="B4" s="89"/>
      <c r="C4" s="90" t="s">
        <v>34</v>
      </c>
      <c r="D4" s="91">
        <f>'Detailed cost results'!$D$18/('Input data'!$F$20*'Input data'!$E$8)</f>
        <v>35.677086344537152</v>
      </c>
      <c r="F4" t="s">
        <v>38</v>
      </c>
      <c r="G4" t="str">
        <f>IF('Input data'!F103="Yes",'Summarised cost results'!G3,'Summarised cost results'!C10)</f>
        <v>Natural gas cost</v>
      </c>
      <c r="H4" s="51">
        <f>IF('Input data'!F103="Yes",H3,D10)</f>
        <v>59.325990309026672</v>
      </c>
    </row>
    <row r="5" spans="2:8" x14ac:dyDescent="0.25">
      <c r="B5" s="92"/>
      <c r="C5" s="90" t="s">
        <v>35</v>
      </c>
      <c r="D5" s="91">
        <f>'Detailed cost results'!$D$26/'Input data'!$F$20</f>
        <v>16.344412787944307</v>
      </c>
    </row>
    <row r="6" spans="2:8" x14ac:dyDescent="0.25">
      <c r="B6" s="92"/>
      <c r="C6" s="90" t="s">
        <v>36</v>
      </c>
      <c r="D6" s="91">
        <f>'Detailed cost results'!$D$31/'Input data'!$F$20</f>
        <v>8.707341463344564</v>
      </c>
    </row>
    <row r="7" spans="2:8" x14ac:dyDescent="0.25">
      <c r="B7" s="213" t="s">
        <v>38</v>
      </c>
      <c r="C7" s="211"/>
      <c r="D7" s="98">
        <f>SUM(D8:D12)</f>
        <v>98.180549389805776</v>
      </c>
    </row>
    <row r="8" spans="2:8" x14ac:dyDescent="0.25">
      <c r="B8" s="89"/>
      <c r="C8" s="90" t="s">
        <v>34</v>
      </c>
      <c r="D8" s="93">
        <f>'Detailed cost results'!$H$18/('Input data'!$F$20*'Input data'!$E$8)</f>
        <v>24.80654832284451</v>
      </c>
    </row>
    <row r="9" spans="2:8" x14ac:dyDescent="0.25">
      <c r="B9" s="94"/>
      <c r="C9" s="90" t="s">
        <v>35</v>
      </c>
      <c r="D9" s="93">
        <f>'Detailed cost results'!$H$26/'Input data'!$F$20</f>
        <v>13.483489891287441</v>
      </c>
    </row>
    <row r="10" spans="2:8" x14ac:dyDescent="0.25">
      <c r="B10" s="94"/>
      <c r="C10" s="90" t="s">
        <v>65</v>
      </c>
      <c r="D10" s="91">
        <f>'Detailed cost results'!$H$27/'Input data'!$F$20</f>
        <v>59.325990309026672</v>
      </c>
    </row>
    <row r="11" spans="2:8" x14ac:dyDescent="0.25">
      <c r="B11" s="94"/>
      <c r="C11" s="90" t="s">
        <v>111</v>
      </c>
      <c r="D11" s="91">
        <f>('Detailed cost results'!$H$31-'Detailed cost results'!$H$27)/'Input data'!$F$20</f>
        <v>0.56452086664714674</v>
      </c>
    </row>
    <row r="12" spans="2:8" x14ac:dyDescent="0.25">
      <c r="B12" s="94"/>
      <c r="C12" s="90" t="s">
        <v>92</v>
      </c>
      <c r="D12" s="91">
        <f>'Detailed cost results'!$H$37/'Input data'!$F$20</f>
        <v>0</v>
      </c>
    </row>
    <row r="13" spans="2:8" x14ac:dyDescent="0.25">
      <c r="B13" s="213" t="s">
        <v>12</v>
      </c>
      <c r="C13" s="211"/>
      <c r="D13" s="99">
        <f>SUM(D14:D16)</f>
        <v>30.905531502158105</v>
      </c>
    </row>
    <row r="14" spans="2:8" x14ac:dyDescent="0.25">
      <c r="B14" s="89"/>
      <c r="C14" s="90" t="s">
        <v>34</v>
      </c>
      <c r="D14" s="95">
        <f>'Detailed cost results'!$K$18/('Input data'!$F$20*'Input data'!$E$8)</f>
        <v>25.772397459001823</v>
      </c>
    </row>
    <row r="15" spans="2:8" x14ac:dyDescent="0.25">
      <c r="B15" s="94"/>
      <c r="C15" s="90" t="s">
        <v>35</v>
      </c>
      <c r="D15" s="95">
        <f>'Detailed cost results'!$K$26/'Input data'!$F$20</f>
        <v>5.1331340431562822</v>
      </c>
    </row>
    <row r="16" spans="2:8" x14ac:dyDescent="0.25">
      <c r="B16" s="94"/>
      <c r="C16" s="90" t="s">
        <v>36</v>
      </c>
      <c r="D16" s="95">
        <f>'Detailed cost results'!$K$31/'Input data'!$F$20</f>
        <v>0</v>
      </c>
    </row>
    <row r="17" spans="2:4" x14ac:dyDescent="0.25">
      <c r="B17" s="212" t="s">
        <v>37</v>
      </c>
      <c r="C17" s="212"/>
      <c r="D17" s="100">
        <f>D13+D7+D3</f>
        <v>189.81492148778992</v>
      </c>
    </row>
  </sheetData>
  <sheetProtection algorithmName="SHA-512" hashValue="ngURc92pc4mlvrxVawLsdAhW7/foHaTU//oRT7BGnPkLTEvfQtfx3JtX5erILUJAVEk5SAPqQ3yWSVk6JzbSjQ==" saltValue="gKY1HkoQtg780fOCQHTJ1A==" spinCount="100000" sheet="1" scenarios="1"/>
  <mergeCells count="4">
    <mergeCell ref="B3:C3"/>
    <mergeCell ref="B17:C17"/>
    <mergeCell ref="B13:C13"/>
    <mergeCell ref="B7:C7"/>
  </mergeCell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B1:K20"/>
  <sheetViews>
    <sheetView zoomScaleNormal="100" workbookViewId="0">
      <selection activeCell="G32" sqref="G32"/>
    </sheetView>
  </sheetViews>
  <sheetFormatPr defaultRowHeight="15" x14ac:dyDescent="0.25"/>
  <cols>
    <col min="3" max="3" width="42.140625" bestFit="1" customWidth="1"/>
    <col min="4" max="5" width="10.7109375" hidden="1" customWidth="1"/>
    <col min="6" max="7" width="15.7109375" customWidth="1"/>
    <col min="8" max="9" width="10.7109375" customWidth="1"/>
    <col min="10" max="10" width="10.5703125" customWidth="1"/>
  </cols>
  <sheetData>
    <row r="1" spans="2:11" ht="18" x14ac:dyDescent="0.35">
      <c r="B1" s="2" t="s">
        <v>125</v>
      </c>
    </row>
    <row r="2" spans="2:11" x14ac:dyDescent="0.25">
      <c r="B2" s="2"/>
    </row>
    <row r="3" spans="2:11" ht="18" x14ac:dyDescent="0.35">
      <c r="B3" s="2"/>
      <c r="D3" s="215" t="s">
        <v>121</v>
      </c>
      <c r="E3" s="216"/>
      <c r="F3" s="206" t="s">
        <v>122</v>
      </c>
      <c r="G3" s="214"/>
      <c r="H3" s="206" t="s">
        <v>126</v>
      </c>
      <c r="I3" s="214"/>
      <c r="J3" s="217" t="s">
        <v>160</v>
      </c>
      <c r="K3" s="215" t="s">
        <v>158</v>
      </c>
    </row>
    <row r="4" spans="2:11" x14ac:dyDescent="0.25">
      <c r="D4" s="5" t="s">
        <v>123</v>
      </c>
      <c r="E4" s="5" t="s">
        <v>124</v>
      </c>
      <c r="F4" s="5" t="s">
        <v>123</v>
      </c>
      <c r="G4" s="5" t="s">
        <v>124</v>
      </c>
      <c r="H4" s="5" t="s">
        <v>123</v>
      </c>
      <c r="I4" s="5" t="s">
        <v>124</v>
      </c>
      <c r="J4" s="218"/>
      <c r="K4" s="219"/>
    </row>
    <row r="5" spans="2:11" x14ac:dyDescent="0.25">
      <c r="C5" s="42" t="s">
        <v>34</v>
      </c>
      <c r="D5" s="53">
        <f>'Input data'!$D$112</f>
        <v>-0.15</v>
      </c>
      <c r="E5" s="53">
        <f>'Input data'!$E$112</f>
        <v>0.35</v>
      </c>
      <c r="F5" s="54">
        <f>$D$5*('Summarised cost results'!$D$4+'Summarised cost results'!$D$8+'Summarised cost results'!$D$14)+'Summarised cost results'!$D$17</f>
        <v>176.87651666883238</v>
      </c>
      <c r="G5" s="54">
        <f>$E$5*('Summarised cost results'!$D$4+'Summarised cost results'!$D$8+'Summarised cost results'!$D$14)+'Summarised cost results'!$D$17</f>
        <v>220.00453273202413</v>
      </c>
      <c r="H5" s="86">
        <f>(MIN(F5:G5)-'Summarised cost results'!$D$17)/'Summarised cost results'!$D$17</f>
        <v>-6.8163265129763867E-2</v>
      </c>
      <c r="I5" s="86">
        <f>(MAX(F5:G5)-'Summarised cost results'!$D$17)/'Summarised cost results'!$D$17</f>
        <v>0.1590476186361155</v>
      </c>
      <c r="J5" s="43">
        <f>MIN(F5:G5)</f>
        <v>176.87651666883238</v>
      </c>
      <c r="K5" s="59">
        <f>MAX(F5:G5)-MIN(F5:G5)</f>
        <v>43.128016063191751</v>
      </c>
    </row>
    <row r="6" spans="2:11" x14ac:dyDescent="0.25">
      <c r="C6" s="9" t="s">
        <v>35</v>
      </c>
      <c r="D6" s="55">
        <f>'Input data'!$D$113</f>
        <v>-0.2</v>
      </c>
      <c r="E6" s="55">
        <f>'Input data'!$E$113</f>
        <v>0.2</v>
      </c>
      <c r="F6" s="56">
        <f>$D$6*('Summarised cost results'!$D$5+'Summarised cost results'!$D$9+'Summarised cost results'!$D$15)+'Summarised cost results'!$D$17</f>
        <v>182.82271414331231</v>
      </c>
      <c r="G6" s="56">
        <f>$E$6*('Summarised cost results'!$D$5+'Summarised cost results'!$D$9+'Summarised cost results'!$D$15)+'Summarised cost results'!$D$17</f>
        <v>196.80712883226752</v>
      </c>
      <c r="H6" s="87">
        <f>(MIN(F6:G6)-'Summarised cost results'!$D$17)/'Summarised cost results'!$D$17</f>
        <v>-3.6836974088611828E-2</v>
      </c>
      <c r="I6" s="87">
        <f>(MAX(F6:G6)-'Summarised cost results'!$D$17)/'Summarised cost results'!$D$17</f>
        <v>3.6836974088611828E-2</v>
      </c>
      <c r="J6" s="43">
        <f>MIN(F6:G6)</f>
        <v>182.82271414331231</v>
      </c>
      <c r="K6" s="59">
        <f>MAX(F6:G6)-MIN(F6:G6)</f>
        <v>13.984414688955212</v>
      </c>
    </row>
    <row r="7" spans="2:11" x14ac:dyDescent="0.25">
      <c r="C7" s="9" t="s">
        <v>65</v>
      </c>
      <c r="D7" s="55">
        <f>'Input data'!$D$114</f>
        <v>-0.3</v>
      </c>
      <c r="E7" s="55">
        <f>'Input data'!$E$114</f>
        <v>0.3</v>
      </c>
      <c r="F7" s="56">
        <f>$D$7*'Detailed cost results'!$L$27/'Input data'!$F$20+'Summarised cost results'!$D$17</f>
        <v>172.01712439508191</v>
      </c>
      <c r="G7" s="56">
        <f>$E$7*'Detailed cost results'!$L$27/'Input data'!$F$20+'Summarised cost results'!$D$17</f>
        <v>207.61271858049793</v>
      </c>
      <c r="H7" s="87">
        <f>(MIN(F7:G7)-'Summarised cost results'!$D$17)/'Summarised cost results'!$D$17</f>
        <v>-9.3763951501846896E-2</v>
      </c>
      <c r="I7" s="87">
        <f>(MAX(F7:G7)-'Summarised cost results'!$D$17)/'Summarised cost results'!$D$17</f>
        <v>9.3763951501846896E-2</v>
      </c>
      <c r="J7" s="43">
        <f t="shared" ref="J7:J16" si="0">MIN(F7:G7)</f>
        <v>172.01712439508191</v>
      </c>
      <c r="K7" s="59">
        <f>MAX(F7:G7)-MIN(F7:G7)</f>
        <v>35.595594185416019</v>
      </c>
    </row>
    <row r="8" spans="2:11" x14ac:dyDescent="0.25">
      <c r="C8" s="45" t="s">
        <v>112</v>
      </c>
      <c r="D8" s="57">
        <f>'Input data'!$D$113</f>
        <v>-0.2</v>
      </c>
      <c r="E8" s="57">
        <f>'Input data'!$E$113</f>
        <v>0.2</v>
      </c>
      <c r="F8" s="58">
        <f>$D$8*('Summarised cost results'!$D$6+'Summarised cost results'!$D$11+'Summarised cost results'!$D$16)+'Summarised cost results'!$D$17</f>
        <v>187.96054902179156</v>
      </c>
      <c r="G8" s="58">
        <f>$E$8*('Summarised cost results'!$D$6+'Summarised cost results'!$D$11+'Summarised cost results'!$D$16)+'Summarised cost results'!$D$17</f>
        <v>191.66929395378827</v>
      </c>
      <c r="H8" s="88">
        <f>(MIN(F8:G8)-'Summarised cost results'!$D$17)/'Summarised cost results'!$D$17</f>
        <v>-9.7693714038052451E-3</v>
      </c>
      <c r="I8" s="88">
        <f>(MAX(F8:G8)-'Summarised cost results'!$D$17)/'Summarised cost results'!$D$17</f>
        <v>9.7693714038052451E-3</v>
      </c>
      <c r="J8" s="43">
        <f t="shared" si="0"/>
        <v>187.96054902179156</v>
      </c>
      <c r="K8" s="59">
        <f t="shared" ref="K8:K16" si="1">MAX(F8:G8)-MIN(F8:G8)</f>
        <v>3.708744931996705</v>
      </c>
    </row>
    <row r="9" spans="2:11" ht="18" x14ac:dyDescent="0.25">
      <c r="C9" s="10" t="s">
        <v>109</v>
      </c>
      <c r="D9" s="55">
        <f>'Input data'!$D$115</f>
        <v>-0.3</v>
      </c>
      <c r="E9" s="55">
        <f>'Input data'!$E$115</f>
        <v>0.3</v>
      </c>
      <c r="F9" s="59">
        <f>$D$9*'Summarised cost results'!$D3+'Summarised cost results'!$D$17</f>
        <v>171.5962693090421</v>
      </c>
      <c r="G9" s="59">
        <f>$E$9*'Summarised cost results'!$D3+'Summarised cost results'!$D$17</f>
        <v>208.03357366653773</v>
      </c>
      <c r="H9" s="85">
        <f>(MIN(F9:G9)-'Summarised cost results'!$D$17)/'Summarised cost results'!$D$17</f>
        <v>-9.5981138026178595E-2</v>
      </c>
      <c r="I9" s="85">
        <f>(MAX(F9:G9)-'Summarised cost results'!$D$17)/'Summarised cost results'!$D$17</f>
        <v>9.5981138026178595E-2</v>
      </c>
      <c r="J9" s="121">
        <f t="shared" si="0"/>
        <v>171.5962693090421</v>
      </c>
      <c r="K9" s="54">
        <f t="shared" si="1"/>
        <v>36.437304357495634</v>
      </c>
    </row>
    <row r="10" spans="2:11" x14ac:dyDescent="0.25">
      <c r="C10" s="10" t="s">
        <v>38</v>
      </c>
      <c r="D10" s="55">
        <f>'Input data'!$D$116</f>
        <v>-0.3</v>
      </c>
      <c r="E10" s="55">
        <f>'Input data'!$E$116</f>
        <v>0.3</v>
      </c>
      <c r="F10" s="59">
        <f>$D$10*'Summarised cost results'!$D7+'Summarised cost results'!$D$17</f>
        <v>160.36075667084819</v>
      </c>
      <c r="G10" s="59">
        <f>$E$10*'Summarised cost results'!$D7+'Summarised cost results'!$D$17</f>
        <v>219.26908630473164</v>
      </c>
      <c r="H10" s="85">
        <f>(MIN(F10:G10)-'Summarised cost results'!$D$17)/'Summarised cost results'!$D$17</f>
        <v>-0.15517307378195977</v>
      </c>
      <c r="I10" s="85">
        <f>(MAX(F10:G10)-'Summarised cost results'!$D$17)/'Summarised cost results'!$D$17</f>
        <v>0.15517307378195977</v>
      </c>
      <c r="J10" s="43">
        <f t="shared" si="0"/>
        <v>160.36075667084819</v>
      </c>
      <c r="K10" s="56">
        <f t="shared" si="1"/>
        <v>58.908329633883454</v>
      </c>
    </row>
    <row r="11" spans="2:11" x14ac:dyDescent="0.25">
      <c r="C11" s="9" t="s">
        <v>12</v>
      </c>
      <c r="D11" s="55">
        <f>'Input data'!$D$117</f>
        <v>-0.3</v>
      </c>
      <c r="E11" s="55">
        <f>'Input data'!$E$117</f>
        <v>0.3</v>
      </c>
      <c r="F11" s="56">
        <f>$D$11*'Summarised cost results'!$D$13+'Summarised cost results'!$D$17</f>
        <v>180.54326203714248</v>
      </c>
      <c r="G11" s="56">
        <f>$E$11*'Summarised cost results'!$D13+'Summarised cost results'!$D$17</f>
        <v>199.08658093843735</v>
      </c>
      <c r="H11" s="85">
        <f>(MIN(F11:G11)-'Summarised cost results'!$D$17)/'Summarised cost results'!$D$17</f>
        <v>-4.8845788191861646E-2</v>
      </c>
      <c r="I11" s="85">
        <f>(MAX(F11:G11)-'Summarised cost results'!$D$17)/'Summarised cost results'!$D$17</f>
        <v>4.8845788191861646E-2</v>
      </c>
      <c r="J11" s="122">
        <f>MIN(F11:G11)</f>
        <v>180.54326203714248</v>
      </c>
      <c r="K11" s="58">
        <f>MAX(F11:G11)-MIN(F11:G11)</f>
        <v>18.543318901294867</v>
      </c>
    </row>
    <row r="12" spans="2:11" x14ac:dyDescent="0.25">
      <c r="C12" s="42" t="s">
        <v>157</v>
      </c>
      <c r="D12" s="53">
        <f>'Input data'!$D$118</f>
        <v>-0.33</v>
      </c>
      <c r="E12" s="53">
        <f>'Input data'!$E$118</f>
        <v>0</v>
      </c>
      <c r="F12" s="54">
        <f>'Summarised cost results'!$D$17+'Sensitivity analyses'!$D$12*('Summarised cost results'!$D$8+'Summarised cost results'!$D$9)*'Detailed cost results'!$H$10/SUM('Detailed cost results'!$H$10:$J$10)</f>
        <v>179.18692414616766</v>
      </c>
      <c r="G12" s="54">
        <f>'Summarised cost results'!$D$17+'Sensitivity analyses'!$E$12*('Summarised cost results'!$D$8+'Summarised cost results'!$D$9)*'Detailed cost results'!$H$10/SUM('Detailed cost results'!$H$10:$J$10)</f>
        <v>189.81492148778992</v>
      </c>
      <c r="H12" s="86">
        <f>(MIN(F12:G12)-'Summarised cost results'!$D$17)/'Summarised cost results'!$D$17</f>
        <v>-5.5991369162755315E-2</v>
      </c>
      <c r="I12" s="86">
        <f>(MAX(F12:G12)-'Summarised cost results'!$D$17)/'Summarised cost results'!$D$17</f>
        <v>0</v>
      </c>
      <c r="J12" s="43">
        <f t="shared" si="0"/>
        <v>179.18692414616766</v>
      </c>
      <c r="K12" s="59">
        <f t="shared" si="1"/>
        <v>10.627997341622262</v>
      </c>
    </row>
    <row r="13" spans="2:11" x14ac:dyDescent="0.25">
      <c r="C13" s="45" t="s">
        <v>156</v>
      </c>
      <c r="D13" s="57">
        <f>'Input data'!$D$119</f>
        <v>-0.3</v>
      </c>
      <c r="E13" s="57">
        <f>'Input data'!$E$119</f>
        <v>0</v>
      </c>
      <c r="F13" s="58">
        <f>($D$13*'Detailed cost results'!$L$27/'Input data'!$F$20*'Input data'!$I$81+'Summarised cost results'!$D$17)/(('Input data'!F20)/('Input data'!F20+('Input data'!F19-'Input data'!F20)*'Sensitivity analyses'!D13))</f>
        <v>150.45531466752101</v>
      </c>
      <c r="G13" s="58">
        <f>($E$13*'Detailed cost results'!$L$27/'Input data'!$F$20*'Input data'!I81+'Summarised cost results'!$D$17)/(('Input data'!F20)/('Input data'!F20+('Input data'!F19-'Input data'!F20)*'Sensitivity analyses'!E13))</f>
        <v>189.81492148778992</v>
      </c>
      <c r="H13" s="88">
        <f>(MIN(F13:G13)-'Summarised cost results'!$D$17)/'Summarised cost results'!$D$17</f>
        <v>-0.20735781208223278</v>
      </c>
      <c r="I13" s="88">
        <f>(MAX(F13:G13)-'Summarised cost results'!$D$17)/'Summarised cost results'!$D$17</f>
        <v>0</v>
      </c>
      <c r="J13" s="43">
        <f t="shared" si="0"/>
        <v>150.45531466752101</v>
      </c>
      <c r="K13" s="59">
        <f t="shared" si="1"/>
        <v>39.359606820268908</v>
      </c>
    </row>
    <row r="14" spans="2:11" x14ac:dyDescent="0.25">
      <c r="C14" s="42" t="s">
        <v>113</v>
      </c>
      <c r="D14" s="53">
        <f>'Input data'!$D$122/'Input data'!$E$7-1</f>
        <v>-0.6</v>
      </c>
      <c r="E14" s="53">
        <f>'Input data'!$E$122/'Input data'!$E$7-1</f>
        <v>0.60000000000000009</v>
      </c>
      <c r="F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factors'!$G$59</f>
        <v>240.77985332916185</v>
      </c>
      <c r="G14" s="54">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factors'!$J$59</f>
        <v>180.77429350865157</v>
      </c>
      <c r="H14" s="86">
        <f>(MIN(F14:G14)-'Summarised cost results'!$D$17)/'Summarised cost results'!$D$17</f>
        <v>-4.7628647464998689E-2</v>
      </c>
      <c r="I14" s="86">
        <f>(MAX(F14:G14)-'Summarised cost results'!$D$17)/'Summarised cost results'!$D$17</f>
        <v>0.26849802661404742</v>
      </c>
      <c r="J14" s="121">
        <f t="shared" si="0"/>
        <v>180.77429350865157</v>
      </c>
      <c r="K14" s="54">
        <f t="shared" si="1"/>
        <v>60.005559820510285</v>
      </c>
    </row>
    <row r="15" spans="2:11" x14ac:dyDescent="0.25">
      <c r="C15" s="9" t="s">
        <v>26</v>
      </c>
      <c r="D15" s="55">
        <f>'Input data'!$D$123/'Input data'!$E$5-1</f>
        <v>-0.5</v>
      </c>
      <c r="E15" s="55">
        <f>'Input data'!$E$123/'Input data'!$E$5-1</f>
        <v>0.5</v>
      </c>
      <c r="F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factors'!$M$59</f>
        <v>164.76570913686732</v>
      </c>
      <c r="G15" s="56">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factors'!P59</f>
        <v>216.76348797909506</v>
      </c>
      <c r="H15" s="87">
        <f>(MIN(F15:G15)-'Summarised cost results'!$D$17)/'Summarised cost results'!$D$17</f>
        <v>-0.13196650797831994</v>
      </c>
      <c r="I15" s="87">
        <f>(MAX(F15:G15)-'Summarised cost results'!$D$17)/'Summarised cost results'!$D$17</f>
        <v>0.1419728558749721</v>
      </c>
      <c r="J15" s="43">
        <f t="shared" si="0"/>
        <v>164.76570913686732</v>
      </c>
      <c r="K15" s="56">
        <f t="shared" si="1"/>
        <v>51.997778842227746</v>
      </c>
    </row>
    <row r="16" spans="2:11" ht="15" customHeight="1" x14ac:dyDescent="0.25">
      <c r="C16" s="45" t="s">
        <v>114</v>
      </c>
      <c r="D16" s="57">
        <f>'Input data'!$D$124/'Input data'!$E$11-1</f>
        <v>-0.26999999999999991</v>
      </c>
      <c r="E16" s="57">
        <f>'Input data'!$E$124/'Input data'!$E$11-1</f>
        <v>4.2857142857142927E-2</v>
      </c>
      <c r="F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factors'!$S$59</f>
        <v>221.71783747973996</v>
      </c>
      <c r="G16" s="58">
        <f>('Summarised cost results'!$D$5+'Summarised cost results'!$D$6+'Summarised cost results'!$D$9+'Summarised cost results'!$D$10+'Summarised cost results'!$D$11+'Summarised cost results'!$D$12+'Summarised cost results'!$D$15+'Summarised cost results'!$D$16)+('Summarised cost results'!$D$4+'Summarised cost results'!$D$8+'Summarised cost results'!$D$14)*'Discount factors'!$D$59/'Discount factors'!$V$59</f>
        <v>186.27015304423989</v>
      </c>
      <c r="H16" s="88">
        <f>(MIN(F16:G16)-'Summarised cost results'!$D$17)/'Summarised cost results'!$D$17</f>
        <v>-1.8674867158839502E-2</v>
      </c>
      <c r="I16" s="88">
        <f>(MAX(F16:G16)-'Summarised cost results'!$D$17)/'Summarised cost results'!$D$17</f>
        <v>0.16807380442955447</v>
      </c>
      <c r="J16" s="122">
        <f t="shared" si="0"/>
        <v>186.27015304423989</v>
      </c>
      <c r="K16" s="58">
        <f t="shared" si="1"/>
        <v>35.447684435500065</v>
      </c>
    </row>
    <row r="19" spans="6:7" x14ac:dyDescent="0.25">
      <c r="F19" s="119"/>
      <c r="G19" s="119"/>
    </row>
    <row r="20" spans="6:7" x14ac:dyDescent="0.25">
      <c r="F20" s="119"/>
      <c r="G20" s="119"/>
    </row>
  </sheetData>
  <sheetProtection algorithmName="SHA-512" hashValue="THX/OshPVA+rBBJBQ7Rs0wTf2iRvzsPbjpOvYDzfs3Jn2T9jTRL+3UiLUvrYsLr0opcBT6BAql5IRF18j0BYvA==" saltValue="hdEyn0yixp1DLoCmw1K14g==" spinCount="100000" sheet="1" scenarios="1"/>
  <mergeCells count="5">
    <mergeCell ref="F3:G3"/>
    <mergeCell ref="D3:E3"/>
    <mergeCell ref="H3:I3"/>
    <mergeCell ref="J3:J4"/>
    <mergeCell ref="K3:K4"/>
  </mergeCells>
  <pageMargins left="0.7" right="0.7" top="0.75" bottom="0.75" header="0.3" footer="0.3"/>
  <pageSetup paperSize="9" orientation="portrait" horizontalDpi="1200" verticalDpi="1200" r:id="rId1"/>
  <ignoredErrors>
    <ignoredError sqref="D7:E7"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Presentation - instructions</vt:lpstr>
      <vt:lpstr>Input data</vt:lpstr>
      <vt:lpstr>Discount factors</vt:lpstr>
      <vt:lpstr>Detailed cost results</vt:lpstr>
      <vt:lpstr>Summarised cost results</vt:lpstr>
      <vt:lpstr>Sensitivity analyses</vt:lpstr>
      <vt:lpstr>List</vt:lpstr>
      <vt:lpstr>Number_of_years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2017-08-30T11:27:56Z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-2051762581</vt:i4>
  </property>
  <property fmtid="{D5CDD505-2E9C-101B-9397-08002B2CF9AE}" pid="3" name="_NewReviewCycle">
    <vt:lpwstr/>
  </property>
  <property fmtid="{D5CDD505-2E9C-101B-9397-08002B2CF9AE}" pid="4" name="_PreviousAdHocReviewCycleID">
    <vt:i4>-1957454934</vt:i4>
  </property>
  <property fmtid="{D5CDD505-2E9C-101B-9397-08002B2CF9AE}" pid="5" name="_ReviewingToolsShownOnce">
    <vt:lpwstr/>
  </property>
</Properties>
</file>