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F106" i="2" l="1"/>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<sst xmlns="http://schemas.openxmlformats.org/spreadsheetml/2006/main" count="341" uniqueCount="167">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</sst>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20">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4" fontId="4" fillId="3" borderId="0" xfId="2" applyNumberFormat="1" applyBorder="1" applyAlignment="1" applyProtection="1">
      <alignment horizontal="center"/>
      <protection locked="0"/>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24.166021993711706</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4.8131893969475295</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21.405756019432165</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10.799971233993716</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0.54681456794668759</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59.444371908753851</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42.213224611379218</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18.459614057867146</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8.2732135800487399</c:v>
                </c:pt>
              </c:numCache>
            </c:numRef>
          </c:val>
        </c:ser>
        <c:dLbls>
          <c:showLegendKey val="0"/>
          <c:showVal val="0"/>
          <c:showCatName val="0"/>
          <c:showSerName val="0"/>
          <c:showPercent val="0"/>
          <c:showBubbleSize val="0"/>
        </c:dLbls>
        <c:gapWidth val="150"/>
        <c:overlap val="100"/>
        <c:axId val="612141864"/>
        <c:axId val="612143432"/>
      </c:barChart>
      <c:catAx>
        <c:axId val="6121418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2143432"/>
        <c:crosses val="autoZero"/>
        <c:auto val="1"/>
        <c:lblAlgn val="ctr"/>
        <c:lblOffset val="100"/>
        <c:noMultiLvlLbl val="0"/>
      </c:catAx>
      <c:valAx>
        <c:axId val="6121434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2141864"/>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28.979211390659234</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92.196913730126411</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68.946052249295093</c:v>
                </c:pt>
              </c:numCache>
            </c:numRef>
          </c:val>
        </c:ser>
        <c:dLbls>
          <c:showLegendKey val="0"/>
          <c:showVal val="0"/>
          <c:showCatName val="0"/>
          <c:showSerName val="0"/>
          <c:showPercent val="0"/>
          <c:showBubbleSize val="0"/>
        </c:dLbls>
        <c:gapWidth val="150"/>
        <c:overlap val="100"/>
        <c:axId val="610978792"/>
        <c:axId val="610975264"/>
      </c:barChart>
      <c:catAx>
        <c:axId val="6109787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0975264"/>
        <c:crosses val="autoZero"/>
        <c:auto val="1"/>
        <c:lblAlgn val="ctr"/>
        <c:lblOffset val="100"/>
        <c:noMultiLvlLbl val="0"/>
      </c:catAx>
      <c:valAx>
        <c:axId val="6109752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0978792"/>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176.95442697640229</c:v>
                </c:pt>
                <c:pt idx="1">
                  <c:v>183.30762243231908</c:v>
                </c:pt>
                <c:pt idx="2">
                  <c:v>172.2888657974546</c:v>
                </c:pt>
                <c:pt idx="3">
                  <c:v>188.35817174048165</c:v>
                </c:pt>
                <c:pt idx="4">
                  <c:v>169.43836169529223</c:v>
                </c:pt>
                <c:pt idx="5">
                  <c:v>162.46310325104284</c:v>
                </c:pt>
                <c:pt idx="6">
                  <c:v>181.42841395288298</c:v>
                </c:pt>
                <c:pt idx="7">
                  <c:v>181.09377723997093</c:v>
                </c:pt>
                <c:pt idx="8">
                  <c:v>150.64079749526871</c:v>
                </c:pt>
                <c:pt idx="9">
                  <c:v>180.921295631014</c:v>
                </c:pt>
                <c:pt idx="10">
                  <c:v>164.62894382154411</c:v>
                </c:pt>
                <c:pt idx="11">
                  <c:v>186.51457452249761</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43.892501312261544</c:v>
                </c:pt>
                <c:pt idx="1">
                  <c:v>13.629109875523341</c:v>
                </c:pt>
                <c:pt idx="2">
                  <c:v>35.666623145252288</c:v>
                </c:pt>
                <c:pt idx="3">
                  <c:v>3.5280112591981947</c:v>
                </c:pt>
                <c:pt idx="4">
                  <c:v>41.367631349577039</c:v>
                </c:pt>
                <c:pt idx="5">
                  <c:v>55.318148238075821</c:v>
                </c:pt>
                <c:pt idx="6">
                  <c:v>17.387526834395544</c:v>
                </c:pt>
                <c:pt idx="7">
                  <c:v>9.0284001301098158</c:v>
                </c:pt>
                <c:pt idx="8">
                  <c:v>39.481379874812035</c:v>
                </c:pt>
                <c:pt idx="9">
                  <c:v>61.069215641769063</c:v>
                </c:pt>
                <c:pt idx="10">
                  <c:v>52.919489102468617</c:v>
                </c:pt>
                <c:pt idx="11">
                  <c:v>36.076028475831407</c:v>
                </c:pt>
              </c:numCache>
            </c:numRef>
          </c:val>
        </c:ser>
        <c:dLbls>
          <c:showLegendKey val="0"/>
          <c:showVal val="0"/>
          <c:showCatName val="0"/>
          <c:showSerName val="0"/>
          <c:showPercent val="0"/>
          <c:showBubbleSize val="0"/>
        </c:dLbls>
        <c:gapWidth val="55"/>
        <c:overlap val="100"/>
        <c:axId val="610977616"/>
        <c:axId val="507228960"/>
      </c:barChart>
      <c:catAx>
        <c:axId val="610977616"/>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7228960"/>
        <c:crosses val="autoZero"/>
        <c:auto val="1"/>
        <c:lblAlgn val="ctr"/>
        <c:lblOffset val="100"/>
        <c:noMultiLvlLbl val="0"/>
      </c:catAx>
      <c:valAx>
        <c:axId val="507228960"/>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10977616"/>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142875</xdr:colOff>
      <xdr:row>1</xdr:row>
      <xdr:rowOff>114300</xdr:rowOff>
    </xdr:from>
    <xdr:to>
      <xdr:col>29</xdr:col>
      <xdr:colOff>356831</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87725" y="304800"/>
          <a:ext cx="1395056" cy="1021538"/>
        </a:xfrm>
        <a:prstGeom prst="rect">
          <a:avLst/>
        </a:prstGeom>
      </xdr:spPr>
    </xdr:pic>
    <xdr:clientData/>
  </xdr:twoCellAnchor>
  <xdr:twoCellAnchor editAs="oneCell">
    <xdr:from>
      <xdr:col>26</xdr:col>
      <xdr:colOff>257175</xdr:colOff>
      <xdr:row>1</xdr:row>
      <xdr:rowOff>114300</xdr:rowOff>
    </xdr:from>
    <xdr:to>
      <xdr:col>29</xdr:col>
      <xdr:colOff>349692</xdr:colOff>
      <xdr:row>6</xdr:row>
      <xdr:rowOff>177383</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11475" y="304800"/>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75XNpEKD94gedEP7FAMwdSSfb7/Ct1HGdO0g9KpIa+J3krzCz5lZvgEkYgQh3bg+qoN5P4GsXA/zPuY8Wpduew==" saltValue="y2GXSU89J+RNJv+plM0e1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H2" sqref="H2"/>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59.387701236043668</v>
      </c>
      <c r="G16" s="5" t="s">
        <v>97</v>
      </c>
      <c r="H16" t="s">
        <v>162</v>
      </c>
    </row>
    <row r="17" spans="1:12" ht="18" x14ac:dyDescent="0.35">
      <c r="B17" s="140" t="s">
        <v>98</v>
      </c>
      <c r="C17" s="141"/>
      <c r="D17" s="141"/>
      <c r="E17" s="141"/>
      <c r="F17" s="125">
        <v>20.069070642983096</v>
      </c>
      <c r="G17" s="5" t="s">
        <v>97</v>
      </c>
    </row>
    <row r="18" spans="1:12" x14ac:dyDescent="0.25">
      <c r="B18" s="46"/>
      <c r="C18" s="46"/>
      <c r="G18" s="60"/>
    </row>
    <row r="19" spans="1:12" ht="18" x14ac:dyDescent="0.35">
      <c r="B19" s="140" t="s">
        <v>93</v>
      </c>
      <c r="C19" s="147"/>
      <c r="D19" s="141"/>
      <c r="E19" s="141"/>
      <c r="F19" s="43">
        <f>F16*'Input data'!E12/1000</f>
        <v>498.85669038276671</v>
      </c>
      <c r="G19" s="5" t="s">
        <v>95</v>
      </c>
    </row>
    <row r="20" spans="1:12" ht="18" x14ac:dyDescent="0.35">
      <c r="B20" s="148" t="s">
        <v>94</v>
      </c>
      <c r="C20" s="147"/>
      <c r="D20" s="141"/>
      <c r="E20" s="141"/>
      <c r="F20" s="43">
        <f>(F16-F17)*'Input data'!E12/1000</f>
        <v>330.27649698170876</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v>11300</v>
      </c>
      <c r="E27" s="126">
        <v>26200</v>
      </c>
      <c r="F27" s="126">
        <v>11200</v>
      </c>
      <c r="G27" s="127">
        <v>5980</v>
      </c>
      <c r="H27" s="137">
        <v>24240</v>
      </c>
      <c r="I27" s="126">
        <v>2960</v>
      </c>
      <c r="J27" s="127">
        <v>1080</v>
      </c>
      <c r="K27" s="156">
        <v>23000</v>
      </c>
      <c r="L27" s="157"/>
    </row>
    <row r="28" spans="1:12" x14ac:dyDescent="0.25">
      <c r="A28" s="2"/>
      <c r="B28" s="9" t="s">
        <v>1</v>
      </c>
      <c r="C28" s="80"/>
      <c r="D28" s="137">
        <v>7400</v>
      </c>
      <c r="E28" s="126">
        <v>15400</v>
      </c>
      <c r="F28" s="126">
        <v>6600</v>
      </c>
      <c r="G28" s="127">
        <v>4200</v>
      </c>
      <c r="H28" s="137">
        <v>13700</v>
      </c>
      <c r="I28" s="126">
        <v>2100</v>
      </c>
      <c r="J28" s="127">
        <v>600</v>
      </c>
      <c r="K28" s="156">
        <v>29300</v>
      </c>
      <c r="L28" s="157"/>
    </row>
    <row r="29" spans="1:12" x14ac:dyDescent="0.25">
      <c r="A29" s="2"/>
      <c r="B29" s="9" t="s">
        <v>3</v>
      </c>
      <c r="C29" s="80"/>
      <c r="D29" s="137">
        <v>1100</v>
      </c>
      <c r="E29" s="126">
        <v>2400</v>
      </c>
      <c r="F29" s="126">
        <v>1000</v>
      </c>
      <c r="G29" s="127">
        <v>600</v>
      </c>
      <c r="H29" s="137">
        <v>2100</v>
      </c>
      <c r="I29" s="126">
        <v>300</v>
      </c>
      <c r="J29" s="127">
        <v>100</v>
      </c>
      <c r="K29" s="156">
        <v>1000</v>
      </c>
      <c r="L29" s="157"/>
    </row>
    <row r="30" spans="1:12" x14ac:dyDescent="0.25">
      <c r="A30" s="2"/>
      <c r="B30" s="9" t="s">
        <v>4</v>
      </c>
      <c r="C30" s="80"/>
      <c r="D30" s="138">
        <v>3700</v>
      </c>
      <c r="E30" s="128">
        <v>8400</v>
      </c>
      <c r="F30" s="128">
        <v>3600</v>
      </c>
      <c r="G30" s="129">
        <v>2000</v>
      </c>
      <c r="H30" s="138">
        <v>7600</v>
      </c>
      <c r="I30" s="128">
        <v>1000</v>
      </c>
      <c r="J30" s="129">
        <v>300</v>
      </c>
      <c r="K30" s="163">
        <v>10500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15</v>
      </c>
      <c r="F54" s="165"/>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351.64</v>
      </c>
      <c r="H75" s="160" t="s">
        <v>29</v>
      </c>
      <c r="I75" s="141"/>
      <c r="J75" s="5" t="s">
        <v>136</v>
      </c>
    </row>
    <row r="76" spans="1:10" ht="15.75" x14ac:dyDescent="0.25">
      <c r="A76" s="101"/>
      <c r="B76" s="9" t="s">
        <v>137</v>
      </c>
      <c r="C76" s="80"/>
      <c r="D76" s="80"/>
      <c r="E76" s="161">
        <v>0.12</v>
      </c>
      <c r="F76" s="161"/>
      <c r="G76" s="61" t="s">
        <v>29</v>
      </c>
      <c r="H76" s="160" t="s">
        <v>29</v>
      </c>
      <c r="I76" s="141"/>
      <c r="J76" s="5" t="s">
        <v>138</v>
      </c>
    </row>
    <row r="77" spans="1:10" ht="15.75" x14ac:dyDescent="0.25">
      <c r="A77" s="101"/>
      <c r="B77" s="9" t="s">
        <v>139</v>
      </c>
      <c r="C77" s="80"/>
      <c r="D77" s="80"/>
      <c r="E77" s="161">
        <v>123.8</v>
      </c>
      <c r="F77" s="161"/>
      <c r="G77" s="61" t="s">
        <v>29</v>
      </c>
      <c r="H77" s="160" t="s">
        <v>29</v>
      </c>
      <c r="I77" s="141"/>
      <c r="J77" s="5" t="s">
        <v>140</v>
      </c>
    </row>
    <row r="78" spans="1:10" ht="15.75" x14ac:dyDescent="0.25">
      <c r="A78" s="101"/>
      <c r="B78" s="9" t="s">
        <v>141</v>
      </c>
      <c r="C78" s="80"/>
      <c r="D78" s="80"/>
      <c r="E78" s="160" t="s">
        <v>29</v>
      </c>
      <c r="F78" s="141"/>
      <c r="G78" s="136">
        <v>215</v>
      </c>
      <c r="H78" s="160" t="s">
        <v>29</v>
      </c>
      <c r="I78" s="141"/>
      <c r="J78" s="5" t="s">
        <v>138</v>
      </c>
    </row>
    <row r="79" spans="1:10" ht="15.75" x14ac:dyDescent="0.25">
      <c r="A79" s="101"/>
      <c r="B79" s="9" t="s">
        <v>142</v>
      </c>
      <c r="C79" s="80"/>
      <c r="D79" s="80"/>
      <c r="E79" s="161">
        <v>0.32</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2953775.9999999991</v>
      </c>
      <c r="H85" s="160" t="s">
        <v>29</v>
      </c>
      <c r="I85" s="140"/>
      <c r="J85" s="5" t="s">
        <v>143</v>
      </c>
    </row>
    <row r="86" spans="1:10" ht="15" hidden="1" customHeight="1" x14ac:dyDescent="0.25">
      <c r="A86" s="101"/>
      <c r="B86" s="9" t="s">
        <v>137</v>
      </c>
      <c r="C86" s="80"/>
      <c r="D86" s="80"/>
      <c r="E86" s="160">
        <f>'Input data'!E76*'Input data'!$E$12</f>
        <v>1007.9999999999998</v>
      </c>
      <c r="F86" s="140"/>
      <c r="G86" s="61" t="s">
        <v>29</v>
      </c>
      <c r="H86" s="160" t="s">
        <v>29</v>
      </c>
      <c r="I86" s="140"/>
      <c r="J86" s="5" t="s">
        <v>144</v>
      </c>
    </row>
    <row r="87" spans="1:10" ht="20.25" hidden="1" customHeight="1" x14ac:dyDescent="0.25">
      <c r="A87" s="101"/>
      <c r="B87" s="9" t="s">
        <v>139</v>
      </c>
      <c r="C87" s="80"/>
      <c r="D87" s="80"/>
      <c r="E87" s="160">
        <f>'Input data'!E77*'Input data'!$E$12/1000</f>
        <v>1039.9199999999998</v>
      </c>
      <c r="F87" s="140"/>
      <c r="G87" s="61" t="s">
        <v>29</v>
      </c>
      <c r="H87" s="160" t="s">
        <v>29</v>
      </c>
      <c r="I87" s="140"/>
      <c r="J87" s="5" t="s">
        <v>144</v>
      </c>
    </row>
    <row r="88" spans="1:10" ht="15.75" x14ac:dyDescent="0.25">
      <c r="A88" s="101"/>
      <c r="B88" s="9" t="s">
        <v>145</v>
      </c>
      <c r="C88" s="80"/>
      <c r="D88" s="80"/>
      <c r="E88" s="168">
        <v>0.48</v>
      </c>
      <c r="F88" s="168"/>
      <c r="G88" s="61" t="s">
        <v>29</v>
      </c>
      <c r="H88" s="160" t="s">
        <v>29</v>
      </c>
      <c r="I88" s="140"/>
      <c r="J88" s="5" t="s">
        <v>144</v>
      </c>
    </row>
    <row r="89" spans="1:10" ht="14.25" hidden="1" x14ac:dyDescent="0.25">
      <c r="A89" s="101"/>
      <c r="B89" s="9" t="s">
        <v>141</v>
      </c>
      <c r="C89" s="80"/>
      <c r="D89" s="80"/>
      <c r="E89" s="160" t="s">
        <v>29</v>
      </c>
      <c r="F89" s="140"/>
      <c r="G89" s="61">
        <f>'Input data'!G78*'Input data'!$E$12</f>
        <v>1805999.9999999995</v>
      </c>
      <c r="H89" s="160" t="s">
        <v>29</v>
      </c>
      <c r="I89" s="140"/>
      <c r="J89" s="80" t="s">
        <v>144</v>
      </c>
    </row>
    <row r="90" spans="1:10" ht="14.25" hidden="1" x14ac:dyDescent="0.25">
      <c r="A90" s="101"/>
      <c r="B90" s="9" t="s">
        <v>142</v>
      </c>
      <c r="C90" s="80"/>
      <c r="D90" s="80"/>
      <c r="E90" s="160">
        <f>'Input data'!E79*'Input data'!$E$12</f>
        <v>2687.9999999999995</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0.56999999999999995</v>
      </c>
      <c r="G105" s="5" t="s">
        <v>149</v>
      </c>
    </row>
    <row r="106" spans="1:15" hidden="1" x14ac:dyDescent="0.25">
      <c r="B106" s="9" t="s">
        <v>153</v>
      </c>
      <c r="C106" s="80"/>
      <c r="D106" s="80"/>
      <c r="E106" s="80"/>
      <c r="F106" s="135">
        <f>F105*E12</f>
        <v>4787.9999999999982</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VcPGyiJL/f4nCAe7HvIOiohbuAtVqWzT4Q4zSjGLh7qD8WvsZquxBpthI4kEMe+PHKAuFxZHdU2Q4I3Oh6mQQQ==" saltValue="eWn86UNlvGMsUo/LTWphGA=="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2" t="s">
        <v>164</v>
      </c>
      <c r="C2" s="173"/>
      <c r="D2" s="174"/>
      <c r="E2" s="169" t="s">
        <v>163</v>
      </c>
      <c r="F2" s="170"/>
      <c r="G2" s="170"/>
      <c r="H2" s="170"/>
      <c r="I2" s="170"/>
      <c r="J2" s="170"/>
      <c r="K2" s="170"/>
      <c r="L2" s="170"/>
      <c r="M2" s="170"/>
      <c r="N2" s="170"/>
      <c r="O2" s="170"/>
      <c r="P2" s="170"/>
      <c r="Q2" s="170"/>
      <c r="R2" s="170"/>
      <c r="S2" s="170"/>
      <c r="T2" s="170"/>
      <c r="U2" s="170"/>
      <c r="V2" s="171"/>
    </row>
    <row r="3" spans="2:22" x14ac:dyDescent="0.25">
      <c r="B3" s="175"/>
      <c r="C3" s="176"/>
      <c r="D3" s="177"/>
      <c r="E3" s="181" t="s">
        <v>116</v>
      </c>
      <c r="F3" s="182"/>
      <c r="G3" s="182"/>
      <c r="H3" s="182"/>
      <c r="I3" s="182"/>
      <c r="J3" s="183"/>
      <c r="K3" s="181" t="s">
        <v>117</v>
      </c>
      <c r="L3" s="182"/>
      <c r="M3" s="182"/>
      <c r="N3" s="182"/>
      <c r="O3" s="182"/>
      <c r="P3" s="183"/>
      <c r="Q3" s="181" t="s">
        <v>118</v>
      </c>
      <c r="R3" s="182"/>
      <c r="S3" s="182"/>
      <c r="T3" s="182"/>
      <c r="U3" s="182"/>
      <c r="V3" s="183"/>
    </row>
    <row r="4" spans="2:22" ht="15.75" thickBot="1" x14ac:dyDescent="0.3">
      <c r="B4" s="178"/>
      <c r="C4" s="179"/>
      <c r="D4" s="180"/>
      <c r="E4" s="184">
        <f>'Input data'!D122</f>
        <v>10</v>
      </c>
      <c r="F4" s="185"/>
      <c r="G4" s="185"/>
      <c r="H4" s="185">
        <f>'Input data'!E122</f>
        <v>40</v>
      </c>
      <c r="I4" s="185"/>
      <c r="J4" s="186"/>
      <c r="K4" s="184">
        <f>'Input data'!D123</f>
        <v>4</v>
      </c>
      <c r="L4" s="185"/>
      <c r="M4" s="185"/>
      <c r="N4" s="185">
        <f>'Input data'!E123</f>
        <v>12</v>
      </c>
      <c r="O4" s="185"/>
      <c r="P4" s="186"/>
      <c r="Q4" s="184">
        <f>'Input data'!D124</f>
        <v>70</v>
      </c>
      <c r="R4" s="185"/>
      <c r="S4" s="185"/>
      <c r="T4" s="185">
        <f>'Input data'!E124</f>
        <v>100</v>
      </c>
      <c r="U4" s="185"/>
      <c r="V4" s="186"/>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2" t="s">
        <v>87</v>
      </c>
      <c r="E3" s="203"/>
      <c r="F3" s="203"/>
      <c r="G3" s="204"/>
      <c r="H3" s="202" t="s">
        <v>38</v>
      </c>
      <c r="I3" s="203"/>
      <c r="J3" s="204"/>
      <c r="K3" s="187" t="s">
        <v>12</v>
      </c>
      <c r="L3" s="187" t="s">
        <v>14</v>
      </c>
    </row>
    <row r="4" spans="2:12" ht="33" x14ac:dyDescent="0.25">
      <c r="C4" s="6"/>
      <c r="D4" s="32" t="s">
        <v>13</v>
      </c>
      <c r="E4" s="33" t="s">
        <v>7</v>
      </c>
      <c r="F4" s="33" t="s">
        <v>8</v>
      </c>
      <c r="G4" s="34" t="s">
        <v>88</v>
      </c>
      <c r="H4" s="32" t="s">
        <v>9</v>
      </c>
      <c r="I4" s="33" t="s">
        <v>10</v>
      </c>
      <c r="J4" s="34" t="s">
        <v>11</v>
      </c>
      <c r="K4" s="188"/>
      <c r="L4" s="189"/>
    </row>
    <row r="5" spans="2:12" x14ac:dyDescent="0.25">
      <c r="C5" s="20" t="s">
        <v>0</v>
      </c>
      <c r="D5" s="110">
        <f>'Input data'!D27</f>
        <v>11300</v>
      </c>
      <c r="E5" s="111">
        <f>'Input data'!E27</f>
        <v>26200</v>
      </c>
      <c r="F5" s="111">
        <f>'Input data'!F27</f>
        <v>11200</v>
      </c>
      <c r="G5" s="112">
        <f>'Input data'!G27</f>
        <v>5980</v>
      </c>
      <c r="H5" s="110">
        <f>'Input data'!H27</f>
        <v>24240</v>
      </c>
      <c r="I5" s="111">
        <f>'Input data'!I27</f>
        <v>2960</v>
      </c>
      <c r="J5" s="112">
        <f>'Input data'!J27</f>
        <v>1080</v>
      </c>
      <c r="K5" s="29">
        <f>'Input data'!K27</f>
        <v>23000</v>
      </c>
      <c r="L5" s="29">
        <f>SUM(D5:K5)</f>
        <v>105960</v>
      </c>
    </row>
    <row r="6" spans="2:12" x14ac:dyDescent="0.25">
      <c r="C6" s="21" t="s">
        <v>1</v>
      </c>
      <c r="D6" s="83">
        <f>'Input data'!D28</f>
        <v>7400</v>
      </c>
      <c r="E6" s="11">
        <f>'Input data'!E28</f>
        <v>15400</v>
      </c>
      <c r="F6" s="11">
        <f>'Input data'!F28</f>
        <v>6600</v>
      </c>
      <c r="G6" s="22">
        <f>'Input data'!G28</f>
        <v>4200</v>
      </c>
      <c r="H6" s="83">
        <f>'Input data'!H28</f>
        <v>13700</v>
      </c>
      <c r="I6" s="11">
        <f>'Input data'!I28</f>
        <v>2100</v>
      </c>
      <c r="J6" s="22">
        <f>'Input data'!J28</f>
        <v>600</v>
      </c>
      <c r="K6" s="28">
        <f>'Input data'!K28</f>
        <v>29300</v>
      </c>
      <c r="L6" s="28">
        <f>SUM(D6:K6)</f>
        <v>79300</v>
      </c>
    </row>
    <row r="7" spans="2:12" x14ac:dyDescent="0.25">
      <c r="C7" s="30" t="s">
        <v>2</v>
      </c>
      <c r="D7" s="24">
        <f t="shared" ref="D7:K7" si="0">D6+D5</f>
        <v>18700</v>
      </c>
      <c r="E7" s="13">
        <f t="shared" si="0"/>
        <v>41600</v>
      </c>
      <c r="F7" s="13">
        <f t="shared" si="0"/>
        <v>17800</v>
      </c>
      <c r="G7" s="25">
        <f t="shared" si="0"/>
        <v>10180</v>
      </c>
      <c r="H7" s="24">
        <f t="shared" si="0"/>
        <v>37940</v>
      </c>
      <c r="I7" s="13">
        <f t="shared" si="0"/>
        <v>5060</v>
      </c>
      <c r="J7" s="25">
        <f t="shared" si="0"/>
        <v>1680</v>
      </c>
      <c r="K7" s="27">
        <f t="shared" si="0"/>
        <v>52300</v>
      </c>
      <c r="L7" s="27">
        <f t="shared" ref="L7:L17" si="1">SUM(D7:K7)</f>
        <v>185260</v>
      </c>
    </row>
    <row r="8" spans="2:12" x14ac:dyDescent="0.25">
      <c r="C8" s="21" t="s">
        <v>3</v>
      </c>
      <c r="D8" s="83">
        <f>'Input data'!D29</f>
        <v>1100</v>
      </c>
      <c r="E8" s="11">
        <f>'Input data'!E29</f>
        <v>2400</v>
      </c>
      <c r="F8" s="11">
        <f>'Input data'!F29</f>
        <v>1000</v>
      </c>
      <c r="G8" s="22">
        <f>'Input data'!G29</f>
        <v>600</v>
      </c>
      <c r="H8" s="83">
        <f>'Input data'!H29</f>
        <v>2100</v>
      </c>
      <c r="I8" s="11">
        <f>'Input data'!I29</f>
        <v>300</v>
      </c>
      <c r="J8" s="22">
        <f>'Input data'!J29</f>
        <v>100</v>
      </c>
      <c r="K8" s="28">
        <f>'Input data'!K29</f>
        <v>1000</v>
      </c>
      <c r="L8" s="28">
        <f>SUM(D8:K8)</f>
        <v>8600</v>
      </c>
    </row>
    <row r="9" spans="2:12" x14ac:dyDescent="0.25">
      <c r="C9" s="21" t="s">
        <v>4</v>
      </c>
      <c r="D9" s="83">
        <f>'Input data'!D30</f>
        <v>3700</v>
      </c>
      <c r="E9" s="11">
        <f>'Input data'!E30</f>
        <v>8400</v>
      </c>
      <c r="F9" s="11">
        <f>'Input data'!F30</f>
        <v>3600</v>
      </c>
      <c r="G9" s="22">
        <f>'Input data'!G30</f>
        <v>2000</v>
      </c>
      <c r="H9" s="83">
        <f>'Input data'!H30</f>
        <v>7600</v>
      </c>
      <c r="I9" s="11">
        <f>'Input data'!I30</f>
        <v>1000</v>
      </c>
      <c r="J9" s="22">
        <f>'Input data'!J30</f>
        <v>300</v>
      </c>
      <c r="K9" s="28">
        <f>'Input data'!K30</f>
        <v>10500</v>
      </c>
      <c r="L9" s="28">
        <f>SUM(D9:K9)</f>
        <v>37100</v>
      </c>
    </row>
    <row r="10" spans="2:12" x14ac:dyDescent="0.25">
      <c r="C10" s="30" t="s">
        <v>5</v>
      </c>
      <c r="D10" s="24">
        <f t="shared" ref="D10:K10" si="2">D7+D8+D9</f>
        <v>23500</v>
      </c>
      <c r="E10" s="13">
        <f t="shared" si="2"/>
        <v>52400</v>
      </c>
      <c r="F10" s="13">
        <f t="shared" si="2"/>
        <v>22400</v>
      </c>
      <c r="G10" s="25">
        <f t="shared" si="2"/>
        <v>12780</v>
      </c>
      <c r="H10" s="24">
        <f t="shared" si="2"/>
        <v>47640</v>
      </c>
      <c r="I10" s="13">
        <f t="shared" si="2"/>
        <v>6360</v>
      </c>
      <c r="J10" s="25">
        <f t="shared" si="2"/>
        <v>2080</v>
      </c>
      <c r="K10" s="27">
        <f t="shared" si="2"/>
        <v>63800</v>
      </c>
      <c r="L10" s="27">
        <f t="shared" si="1"/>
        <v>230960</v>
      </c>
    </row>
    <row r="11" spans="2:12" x14ac:dyDescent="0.25">
      <c r="C11" s="21" t="s">
        <v>86</v>
      </c>
      <c r="D11" s="26">
        <f>D$10*('Input data'!$E$34/100)</f>
        <v>3525</v>
      </c>
      <c r="E11" s="11">
        <f>E$10*('Input data'!$E$34/100)</f>
        <v>7860</v>
      </c>
      <c r="F11" s="11">
        <f>F$10*('Input data'!$E$34/100)</f>
        <v>3360</v>
      </c>
      <c r="G11" s="22">
        <f>G$10*('Input data'!$E$34/100)</f>
        <v>1917</v>
      </c>
      <c r="H11" s="26">
        <f>H$10*('Input data'!$E$34/100)</f>
        <v>7146</v>
      </c>
      <c r="I11" s="11">
        <f>I$10*('Input data'!$E$34/100)</f>
        <v>954</v>
      </c>
      <c r="J11" s="22">
        <f>J$10*('Input data'!$E$34/100)</f>
        <v>312</v>
      </c>
      <c r="K11" s="28">
        <f>K$10*('Input data'!$E$34/100)</f>
        <v>9570</v>
      </c>
      <c r="L11" s="28">
        <f t="shared" si="1"/>
        <v>34644</v>
      </c>
    </row>
    <row r="12" spans="2:12" x14ac:dyDescent="0.25">
      <c r="C12" s="30" t="s">
        <v>6</v>
      </c>
      <c r="D12" s="205">
        <f>SUM(D10:G11)</f>
        <v>127742</v>
      </c>
      <c r="E12" s="206"/>
      <c r="F12" s="206"/>
      <c r="G12" s="207"/>
      <c r="H12" s="205">
        <f>SUM(H10:J11)</f>
        <v>64492</v>
      </c>
      <c r="I12" s="206"/>
      <c r="J12" s="207"/>
      <c r="K12" s="27">
        <f>K10+K11</f>
        <v>73370</v>
      </c>
      <c r="L12" s="27">
        <f t="shared" si="1"/>
        <v>265604</v>
      </c>
    </row>
    <row r="13" spans="2:12" x14ac:dyDescent="0.25">
      <c r="C13" s="21" t="s">
        <v>56</v>
      </c>
      <c r="D13" s="190">
        <f>D12*'Input data'!$H$37/100</f>
        <v>638.71</v>
      </c>
      <c r="E13" s="166"/>
      <c r="F13" s="166"/>
      <c r="G13" s="191"/>
      <c r="H13" s="190">
        <f>H12*'Input data'!$H$37/100</f>
        <v>322.45999999999998</v>
      </c>
      <c r="I13" s="166"/>
      <c r="J13" s="191"/>
      <c r="K13" s="28">
        <f>K12*'Input data'!$H$37/100</f>
        <v>366.85</v>
      </c>
      <c r="L13" s="28">
        <f t="shared" si="1"/>
        <v>1328.02</v>
      </c>
    </row>
    <row r="14" spans="2:12" x14ac:dyDescent="0.25">
      <c r="C14" s="21" t="s">
        <v>57</v>
      </c>
      <c r="D14" s="190">
        <f>'Input data'!$H$39/12*SUM($D$28:$G$30)+'Input data'!$H$40/100*1/12*$D$27</f>
        <v>227.70399999999995</v>
      </c>
      <c r="E14" s="166"/>
      <c r="F14" s="166"/>
      <c r="G14" s="191"/>
      <c r="H14" s="190">
        <f>'Input data'!$H$39/12*SUM($H$28:$J$30)+'Input data'!$H$40/100*1/12*$H$27</f>
        <v>424.07247748543989</v>
      </c>
      <c r="I14" s="166"/>
      <c r="J14" s="191"/>
      <c r="K14" s="28">
        <f>'Input data'!$H$39/12*SUM($K$28:$K$30)+'Input data'!$H$40/100*1/12*$K$27</f>
        <v>0</v>
      </c>
      <c r="L14" s="28">
        <f t="shared" si="1"/>
        <v>651.77647748543984</v>
      </c>
    </row>
    <row r="15" spans="2:12" x14ac:dyDescent="0.25">
      <c r="C15" s="21" t="s">
        <v>58</v>
      </c>
      <c r="D15" s="190">
        <f>'Input data'!$H$38/12*$D$23+D12*'Input data'!$H$41/100</f>
        <v>2854.84</v>
      </c>
      <c r="E15" s="166"/>
      <c r="F15" s="166"/>
      <c r="G15" s="191"/>
      <c r="H15" s="190">
        <f>'Input data'!$H$38/12*$H$23+H12*'Input data'!$H$41/100</f>
        <v>1489.84</v>
      </c>
      <c r="I15" s="166"/>
      <c r="J15" s="191"/>
      <c r="K15" s="28">
        <f>'Input data'!$H$38/12*$K$23+K12*'Input data'!$H$41/100</f>
        <v>1467.4</v>
      </c>
      <c r="L15" s="28">
        <f t="shared" si="1"/>
        <v>5812.08</v>
      </c>
    </row>
    <row r="16" spans="2:12" x14ac:dyDescent="0.25">
      <c r="C16" s="31" t="s">
        <v>47</v>
      </c>
      <c r="D16" s="190">
        <f>D12*'Input data'!$H$42/100</f>
        <v>8941.94</v>
      </c>
      <c r="E16" s="166">
        <f>E12*'Input data'!$H$42/100</f>
        <v>0</v>
      </c>
      <c r="F16" s="166">
        <f>F12*'Input data'!$H$42/100</f>
        <v>0</v>
      </c>
      <c r="G16" s="191">
        <f>G12*'Input data'!$H$42/100</f>
        <v>0</v>
      </c>
      <c r="H16" s="190">
        <f>H12*'Input data'!$H$42/100</f>
        <v>4514.4399999999996</v>
      </c>
      <c r="I16" s="166">
        <f>I12*'Input data'!$H$42/100</f>
        <v>0</v>
      </c>
      <c r="J16" s="191">
        <f>J12*'Input data'!$H$42/100</f>
        <v>0</v>
      </c>
      <c r="K16" s="28">
        <f>K12*'Input data'!$H$42/100</f>
        <v>5135.8999999999996</v>
      </c>
      <c r="L16" s="28">
        <f t="shared" si="1"/>
        <v>18592.28</v>
      </c>
    </row>
    <row r="17" spans="2:12" x14ac:dyDescent="0.25">
      <c r="C17" s="21" t="s">
        <v>33</v>
      </c>
      <c r="D17" s="190">
        <f>D12*('Input data'!$D$48-1)</f>
        <v>20329.168460800018</v>
      </c>
      <c r="E17" s="166">
        <f>E12*('Input data'!$D$48-1)</f>
        <v>0</v>
      </c>
      <c r="F17" s="166">
        <f>F12*('Input data'!$D$48-1)</f>
        <v>0</v>
      </c>
      <c r="G17" s="191">
        <f>G12*('Input data'!$D$48-1)</f>
        <v>0</v>
      </c>
      <c r="H17" s="190">
        <f>H12*('Input data'!$D$48-1)</f>
        <v>10263.411660800008</v>
      </c>
      <c r="I17" s="166">
        <f>I12*('Input data'!$D$48-1)</f>
        <v>0</v>
      </c>
      <c r="J17" s="191">
        <f>J12*('Input data'!$D$48-1)</f>
        <v>0</v>
      </c>
      <c r="K17" s="28">
        <f>K12*('Input data'!$D$48-1)</f>
        <v>11676.27788800001</v>
      </c>
      <c r="L17" s="28">
        <f t="shared" si="1"/>
        <v>42268.858009600037</v>
      </c>
    </row>
    <row r="18" spans="2:12" x14ac:dyDescent="0.25">
      <c r="C18" s="23" t="s">
        <v>15</v>
      </c>
      <c r="D18" s="192">
        <f>SUM(D12:G17)</f>
        <v>160734.36246080004</v>
      </c>
      <c r="E18" s="193"/>
      <c r="F18" s="193"/>
      <c r="G18" s="194"/>
      <c r="H18" s="192">
        <f>SUM(H12:J17)</f>
        <v>81506.224138285441</v>
      </c>
      <c r="I18" s="208"/>
      <c r="J18" s="209"/>
      <c r="K18" s="15">
        <f>SUM(K12:K17)</f>
        <v>92016.427888000006</v>
      </c>
      <c r="L18" s="15">
        <f>SUM(L12:L17)</f>
        <v>334257.01448708546</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2" t="s">
        <v>87</v>
      </c>
      <c r="E21" s="203"/>
      <c r="F21" s="203"/>
      <c r="G21" s="204"/>
      <c r="H21" s="202" t="s">
        <v>38</v>
      </c>
      <c r="I21" s="203"/>
      <c r="J21" s="204"/>
      <c r="K21" s="187" t="s">
        <v>12</v>
      </c>
      <c r="L21" s="187" t="s">
        <v>14</v>
      </c>
    </row>
    <row r="22" spans="2:12" ht="33" x14ac:dyDescent="0.25">
      <c r="C22" s="6"/>
      <c r="D22" s="32" t="s">
        <v>13</v>
      </c>
      <c r="E22" s="33" t="s">
        <v>7</v>
      </c>
      <c r="F22" s="33" t="s">
        <v>8</v>
      </c>
      <c r="G22" s="34" t="s">
        <v>88</v>
      </c>
      <c r="H22" s="32" t="s">
        <v>9</v>
      </c>
      <c r="I22" s="33" t="s">
        <v>10</v>
      </c>
      <c r="J22" s="34" t="s">
        <v>11</v>
      </c>
      <c r="K22" s="188"/>
      <c r="L22" s="189"/>
    </row>
    <row r="23" spans="2:12" x14ac:dyDescent="0.25">
      <c r="C23" s="16" t="s">
        <v>39</v>
      </c>
      <c r="D23" s="195">
        <f>'Input data'!$E$54*'Input data'!$F$56/1000</f>
        <v>1200</v>
      </c>
      <c r="E23" s="196"/>
      <c r="F23" s="196"/>
      <c r="G23" s="197"/>
      <c r="H23" s="195">
        <f>'Input data'!$G$54*'Input data'!$F$56/1000</f>
        <v>800</v>
      </c>
      <c r="I23" s="196"/>
      <c r="J23" s="197"/>
      <c r="K23" s="19">
        <f>'Input data'!$H$54*'Input data'!$F$56/1000</f>
        <v>0</v>
      </c>
      <c r="L23" s="19">
        <f t="shared" ref="L23:L32" si="3">SUM(D23:K23)</f>
        <v>2000</v>
      </c>
    </row>
    <row r="24" spans="2:12" x14ac:dyDescent="0.25">
      <c r="C24" s="17" t="s">
        <v>40</v>
      </c>
      <c r="D24" s="198">
        <f>(SUM(D10:D11)*'Input data'!$F$59+SUM(E10:G11)*'Input data'!$F$60)/100/('Input data'!$F$66/100)</f>
        <v>4258.0666666666675</v>
      </c>
      <c r="E24" s="144"/>
      <c r="F24" s="144"/>
      <c r="G24" s="199"/>
      <c r="H24" s="198">
        <f>(SUM(H10:H11)*'Input data'!$F$61+SUM(I10:J11)*'Input data'!$F$62)/100/('Input data'!$F$66/100)</f>
        <v>2444.5166666666669</v>
      </c>
      <c r="I24" s="144"/>
      <c r="J24" s="199"/>
      <c r="K24" s="14">
        <f>SUM(K10:K11)*'Input data'!$F$63/100/('Input data'!$F$66/100)</f>
        <v>1222.8333333333335</v>
      </c>
      <c r="L24" s="14">
        <f t="shared" si="3"/>
        <v>7925.4166666666679</v>
      </c>
    </row>
    <row r="25" spans="2:12" x14ac:dyDescent="0.25">
      <c r="C25" s="17" t="s">
        <v>41</v>
      </c>
      <c r="D25" s="198">
        <f>D12*'Input data'!$F$69/100</f>
        <v>638.71</v>
      </c>
      <c r="E25" s="144"/>
      <c r="F25" s="144"/>
      <c r="G25" s="199"/>
      <c r="H25" s="198">
        <f>H12*'Input data'!$F$69/100</f>
        <v>322.45999999999998</v>
      </c>
      <c r="I25" s="144"/>
      <c r="J25" s="199"/>
      <c r="K25" s="14">
        <f>K12*'Input data'!$F$69/100</f>
        <v>366.85</v>
      </c>
      <c r="L25" s="14">
        <f t="shared" si="3"/>
        <v>1328.02</v>
      </c>
    </row>
    <row r="26" spans="2:12" x14ac:dyDescent="0.25">
      <c r="C26" s="18" t="s">
        <v>17</v>
      </c>
      <c r="D26" s="192">
        <f>SUM(D23:G25)</f>
        <v>6096.7766666666676</v>
      </c>
      <c r="E26" s="193"/>
      <c r="F26" s="193"/>
      <c r="G26" s="194"/>
      <c r="H26" s="192">
        <f>SUM(H23:J25)</f>
        <v>3566.9766666666669</v>
      </c>
      <c r="I26" s="193"/>
      <c r="J26" s="194"/>
      <c r="K26" s="15">
        <f>SUM(K23:K25)</f>
        <v>1589.6833333333334</v>
      </c>
      <c r="L26" s="15">
        <f t="shared" si="3"/>
        <v>11253.436666666668</v>
      </c>
    </row>
    <row r="27" spans="2:12" x14ac:dyDescent="0.25">
      <c r="C27" s="16" t="s">
        <v>42</v>
      </c>
      <c r="D27" s="195">
        <v>0</v>
      </c>
      <c r="E27" s="196"/>
      <c r="F27" s="196"/>
      <c r="G27" s="197"/>
      <c r="H27" s="195">
        <f>'Input data'!$G$85*'Input data'!$F$93/1000</f>
        <v>19633.078919301115</v>
      </c>
      <c r="I27" s="196"/>
      <c r="J27" s="197"/>
      <c r="K27" s="19">
        <v>0</v>
      </c>
      <c r="L27" s="19">
        <f t="shared" si="3"/>
        <v>19633.078919301115</v>
      </c>
    </row>
    <row r="28" spans="2:12" x14ac:dyDescent="0.25">
      <c r="C28" s="17" t="s">
        <v>43</v>
      </c>
      <c r="D28" s="198">
        <f>('Input data'!$E$86*'Input data'!$F$94+'Input data'!$E$87*'Input data'!$F$95+'Input data'!$E$88*'Input data'!$F$96)/1000</f>
        <v>2127.6479999999997</v>
      </c>
      <c r="E28" s="144"/>
      <c r="F28" s="144"/>
      <c r="G28" s="199"/>
      <c r="H28" s="198">
        <v>0</v>
      </c>
      <c r="I28" s="144"/>
      <c r="J28" s="199"/>
      <c r="K28" s="14">
        <v>0</v>
      </c>
      <c r="L28" s="14">
        <f t="shared" si="3"/>
        <v>2127.6479999999997</v>
      </c>
    </row>
    <row r="29" spans="2:12" x14ac:dyDescent="0.25">
      <c r="C29" s="17" t="s">
        <v>44</v>
      </c>
      <c r="D29" s="198">
        <v>0</v>
      </c>
      <c r="E29" s="144"/>
      <c r="F29" s="144"/>
      <c r="G29" s="199"/>
      <c r="H29" s="198">
        <f>'Input data'!$G$89*'Input data'!$F$97/1000</f>
        <v>180.59999999999997</v>
      </c>
      <c r="I29" s="144"/>
      <c r="J29" s="199"/>
      <c r="K29" s="14">
        <v>0</v>
      </c>
      <c r="L29" s="14">
        <f t="shared" si="3"/>
        <v>180.59999999999997</v>
      </c>
    </row>
    <row r="30" spans="2:12" x14ac:dyDescent="0.25">
      <c r="C30" s="17" t="s">
        <v>45</v>
      </c>
      <c r="D30" s="198">
        <f>('Input data'!$E$90*'Input data'!$F$98+'Input data'!$E$88*'Input data'!$F$99)/1000</f>
        <v>604.79999999999984</v>
      </c>
      <c r="E30" s="144"/>
      <c r="F30" s="144"/>
      <c r="G30" s="199"/>
      <c r="H30" s="198">
        <v>0</v>
      </c>
      <c r="I30" s="144"/>
      <c r="J30" s="199"/>
      <c r="K30" s="14">
        <v>0</v>
      </c>
      <c r="L30" s="14">
        <f t="shared" si="3"/>
        <v>604.79999999999984</v>
      </c>
    </row>
    <row r="31" spans="2:12" x14ac:dyDescent="0.25">
      <c r="C31" s="18" t="s">
        <v>18</v>
      </c>
      <c r="D31" s="192">
        <f>SUM(D27:G30)</f>
        <v>2732.4479999999994</v>
      </c>
      <c r="E31" s="193"/>
      <c r="F31" s="193"/>
      <c r="G31" s="194"/>
      <c r="H31" s="192">
        <f>SUM(H27:J30)</f>
        <v>19813.678919301114</v>
      </c>
      <c r="I31" s="193"/>
      <c r="J31" s="194"/>
      <c r="K31" s="15">
        <f>SUM(K27:K30)</f>
        <v>0</v>
      </c>
      <c r="L31" s="15">
        <f t="shared" si="3"/>
        <v>22546.126919301114</v>
      </c>
    </row>
    <row r="32" spans="2:12" x14ac:dyDescent="0.25">
      <c r="C32" s="18" t="s">
        <v>16</v>
      </c>
      <c r="D32" s="192">
        <f>D31+D26</f>
        <v>8829.224666666667</v>
      </c>
      <c r="E32" s="193"/>
      <c r="F32" s="193"/>
      <c r="G32" s="194"/>
      <c r="H32" s="192">
        <f>H26+H31</f>
        <v>23380.655585967779</v>
      </c>
      <c r="I32" s="193"/>
      <c r="J32" s="194"/>
      <c r="K32" s="15">
        <f>K26+K31</f>
        <v>1589.6833333333334</v>
      </c>
      <c r="L32" s="15">
        <f t="shared" si="3"/>
        <v>33799.563585967779</v>
      </c>
    </row>
    <row r="35" spans="2:12" ht="18" x14ac:dyDescent="0.35">
      <c r="D35" s="202" t="s">
        <v>87</v>
      </c>
      <c r="E35" s="203"/>
      <c r="F35" s="203"/>
      <c r="G35" s="204"/>
      <c r="H35" s="202" t="s">
        <v>38</v>
      </c>
      <c r="I35" s="203"/>
      <c r="J35" s="204"/>
      <c r="K35" s="187" t="s">
        <v>12</v>
      </c>
      <c r="L35" s="187" t="s">
        <v>14</v>
      </c>
    </row>
    <row r="36" spans="2:12" ht="33" x14ac:dyDescent="0.25">
      <c r="C36" t="s">
        <v>92</v>
      </c>
      <c r="D36" s="32" t="s">
        <v>13</v>
      </c>
      <c r="E36" s="33" t="s">
        <v>7</v>
      </c>
      <c r="F36" s="33" t="s">
        <v>8</v>
      </c>
      <c r="G36" s="34" t="s">
        <v>88</v>
      </c>
      <c r="H36" s="32" t="s">
        <v>9</v>
      </c>
      <c r="I36" s="33" t="s">
        <v>10</v>
      </c>
      <c r="J36" s="34" t="s">
        <v>11</v>
      </c>
      <c r="K36" s="188"/>
      <c r="L36" s="189"/>
    </row>
    <row r="37" spans="2:12" x14ac:dyDescent="0.25">
      <c r="C37" s="47" t="s">
        <v>90</v>
      </c>
      <c r="D37" s="200">
        <v>0</v>
      </c>
      <c r="E37" s="201"/>
      <c r="F37" s="201"/>
      <c r="G37" s="201"/>
      <c r="H37" s="200">
        <f>-'Input data'!F106*'Input data'!F107/1000*IF('Input data'!F103="No",0,1)</f>
        <v>0</v>
      </c>
      <c r="I37" s="201"/>
      <c r="J37" s="201"/>
      <c r="K37" s="48">
        <v>0</v>
      </c>
      <c r="L37" s="48">
        <f>SUM(D37:K37)</f>
        <v>0</v>
      </c>
    </row>
    <row r="39" spans="2:12" x14ac:dyDescent="0.25">
      <c r="B39" s="2" t="s">
        <v>83</v>
      </c>
    </row>
    <row r="40" spans="2:12" x14ac:dyDescent="0.25">
      <c r="C40" s="6"/>
      <c r="D40" s="38" t="s">
        <v>37</v>
      </c>
    </row>
    <row r="41" spans="2:12" x14ac:dyDescent="0.25">
      <c r="C41" s="35" t="s">
        <v>19</v>
      </c>
      <c r="D41" s="36">
        <f>$L$18/'Input data'!$E$8</f>
        <v>28993.323154357597</v>
      </c>
    </row>
    <row r="42" spans="2:12" x14ac:dyDescent="0.25">
      <c r="C42" s="21" t="s">
        <v>20</v>
      </c>
      <c r="D42" s="37">
        <f>$L$32</f>
        <v>33799.563585967779</v>
      </c>
    </row>
    <row r="43" spans="2:12" x14ac:dyDescent="0.25">
      <c r="C43" s="21" t="s">
        <v>92</v>
      </c>
      <c r="D43" s="37">
        <f>$L$37</f>
        <v>0</v>
      </c>
    </row>
    <row r="44" spans="2:12" x14ac:dyDescent="0.25">
      <c r="C44" s="23" t="s">
        <v>21</v>
      </c>
      <c r="D44" s="39">
        <f>SUM(D41:D43)</f>
        <v>62792.886740325375</v>
      </c>
    </row>
    <row r="45" spans="2:12" x14ac:dyDescent="0.25">
      <c r="D45" s="3"/>
    </row>
    <row r="46" spans="2:12" x14ac:dyDescent="0.25">
      <c r="D46" s="3"/>
    </row>
    <row r="47" spans="2:12" ht="18" x14ac:dyDescent="0.35">
      <c r="C47" s="12" t="s">
        <v>110</v>
      </c>
      <c r="D47" s="40">
        <f>$D$44/'Input data'!$F$19</f>
        <v>125.87359847202842</v>
      </c>
    </row>
    <row r="48" spans="2:12" ht="18" x14ac:dyDescent="0.35">
      <c r="C48" s="12" t="s">
        <v>102</v>
      </c>
      <c r="D48" s="41">
        <f>$D$44/'Input data'!$F$20</f>
        <v>190.12217737008075</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10" t="s">
        <v>128</v>
      </c>
      <c r="C3" s="211"/>
      <c r="D3" s="98">
        <f>SUM(D4:D6)</f>
        <v>68.946052249295093</v>
      </c>
      <c r="F3" t="s">
        <v>38</v>
      </c>
      <c r="G3" s="44" t="s">
        <v>108</v>
      </c>
      <c r="H3" s="50">
        <f>D10+D12</f>
        <v>59.444371908753851</v>
      </c>
    </row>
    <row r="4" spans="2:8" x14ac:dyDescent="0.25">
      <c r="B4" s="89"/>
      <c r="C4" s="90" t="s">
        <v>34</v>
      </c>
      <c r="D4" s="91">
        <f>'Detailed cost results'!$D$18/('Input data'!$F$20*'Input data'!$E$8)</f>
        <v>42.213224611379218</v>
      </c>
      <c r="F4" t="s">
        <v>38</v>
      </c>
      <c r="G4" t="str">
        <f>IF('Input data'!F103="Yes",'Summarised cost results'!G3,'Summarised cost results'!C10)</f>
        <v>Natural gas cost</v>
      </c>
      <c r="H4" s="51">
        <f>IF('Input data'!F103="Yes",H3,D10)</f>
        <v>59.444371908753851</v>
      </c>
    </row>
    <row r="5" spans="2:8" x14ac:dyDescent="0.25">
      <c r="B5" s="92"/>
      <c r="C5" s="90" t="s">
        <v>35</v>
      </c>
      <c r="D5" s="91">
        <f>'Detailed cost results'!$D$26/'Input data'!$F$20</f>
        <v>18.459614057867146</v>
      </c>
    </row>
    <row r="6" spans="2:8" x14ac:dyDescent="0.25">
      <c r="B6" s="92"/>
      <c r="C6" s="90" t="s">
        <v>36</v>
      </c>
      <c r="D6" s="91">
        <f>'Detailed cost results'!$D$31/'Input data'!$F$20</f>
        <v>8.2732135800487399</v>
      </c>
    </row>
    <row r="7" spans="2:8" x14ac:dyDescent="0.25">
      <c r="B7" s="213" t="s">
        <v>38</v>
      </c>
      <c r="C7" s="211"/>
      <c r="D7" s="98">
        <f>SUM(D8:D12)</f>
        <v>92.196913730126411</v>
      </c>
    </row>
    <row r="8" spans="2:8" x14ac:dyDescent="0.25">
      <c r="B8" s="89"/>
      <c r="C8" s="90" t="s">
        <v>34</v>
      </c>
      <c r="D8" s="93">
        <f>'Detailed cost results'!$H$18/('Input data'!$F$20*'Input data'!$E$8)</f>
        <v>21.405756019432165</v>
      </c>
    </row>
    <row r="9" spans="2:8" x14ac:dyDescent="0.25">
      <c r="B9" s="94"/>
      <c r="C9" s="90" t="s">
        <v>35</v>
      </c>
      <c r="D9" s="93">
        <f>'Detailed cost results'!$H$26/'Input data'!$F$20</f>
        <v>10.799971233993716</v>
      </c>
    </row>
    <row r="10" spans="2:8" x14ac:dyDescent="0.25">
      <c r="B10" s="94"/>
      <c r="C10" s="90" t="s">
        <v>65</v>
      </c>
      <c r="D10" s="91">
        <f>'Detailed cost results'!$H$27/'Input data'!$F$20</f>
        <v>59.444371908753851</v>
      </c>
    </row>
    <row r="11" spans="2:8" x14ac:dyDescent="0.25">
      <c r="B11" s="94"/>
      <c r="C11" s="90" t="s">
        <v>111</v>
      </c>
      <c r="D11" s="91">
        <f>('Detailed cost results'!$H$31-'Detailed cost results'!$H$27)/'Input data'!$F$20</f>
        <v>0.54681456794668759</v>
      </c>
    </row>
    <row r="12" spans="2:8" x14ac:dyDescent="0.25">
      <c r="B12" s="94"/>
      <c r="C12" s="90" t="s">
        <v>92</v>
      </c>
      <c r="D12" s="91">
        <f>'Detailed cost results'!$H$37/'Input data'!$F$20</f>
        <v>0</v>
      </c>
    </row>
    <row r="13" spans="2:8" x14ac:dyDescent="0.25">
      <c r="B13" s="213" t="s">
        <v>12</v>
      </c>
      <c r="C13" s="211"/>
      <c r="D13" s="99">
        <f>SUM(D14:D16)</f>
        <v>28.979211390659234</v>
      </c>
    </row>
    <row r="14" spans="2:8" x14ac:dyDescent="0.25">
      <c r="B14" s="89"/>
      <c r="C14" s="90" t="s">
        <v>34</v>
      </c>
      <c r="D14" s="95">
        <f>'Detailed cost results'!$K$18/('Input data'!$F$20*'Input data'!$E$8)</f>
        <v>24.166021993711706</v>
      </c>
    </row>
    <row r="15" spans="2:8" x14ac:dyDescent="0.25">
      <c r="B15" s="94"/>
      <c r="C15" s="90" t="s">
        <v>35</v>
      </c>
      <c r="D15" s="95">
        <f>'Detailed cost results'!$K$26/'Input data'!$F$20</f>
        <v>4.8131893969475295</v>
      </c>
    </row>
    <row r="16" spans="2:8" x14ac:dyDescent="0.25">
      <c r="B16" s="94"/>
      <c r="C16" s="90" t="s">
        <v>36</v>
      </c>
      <c r="D16" s="95">
        <f>'Detailed cost results'!$K$31/'Input data'!$F$20</f>
        <v>0</v>
      </c>
    </row>
    <row r="17" spans="2:4" x14ac:dyDescent="0.25">
      <c r="B17" s="212" t="s">
        <v>37</v>
      </c>
      <c r="C17" s="212"/>
      <c r="D17" s="100">
        <f>D13+D7+D3</f>
        <v>190.12217737008075</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5" t="s">
        <v>121</v>
      </c>
      <c r="E3" s="216"/>
      <c r="F3" s="196" t="s">
        <v>122</v>
      </c>
      <c r="G3" s="214"/>
      <c r="H3" s="196" t="s">
        <v>126</v>
      </c>
      <c r="I3" s="214"/>
      <c r="J3" s="217" t="s">
        <v>160</v>
      </c>
      <c r="K3" s="215" t="s">
        <v>158</v>
      </c>
    </row>
    <row r="4" spans="2:11" x14ac:dyDescent="0.25">
      <c r="D4" s="5" t="s">
        <v>123</v>
      </c>
      <c r="E4" s="5" t="s">
        <v>124</v>
      </c>
      <c r="F4" s="5" t="s">
        <v>123</v>
      </c>
      <c r="G4" s="5" t="s">
        <v>124</v>
      </c>
      <c r="H4" s="5" t="s">
        <v>123</v>
      </c>
      <c r="I4" s="5" t="s">
        <v>124</v>
      </c>
      <c r="J4" s="218"/>
      <c r="K4" s="219"/>
    </row>
    <row r="5" spans="2:11" x14ac:dyDescent="0.25">
      <c r="C5" s="42" t="s">
        <v>34</v>
      </c>
      <c r="D5" s="53">
        <f>'Input data'!$D$112</f>
        <v>-0.15</v>
      </c>
      <c r="E5" s="53">
        <f>'Input data'!$E$112</f>
        <v>0.35</v>
      </c>
      <c r="F5" s="54">
        <f>$D$5*('Summarised cost results'!$D$4+'Summarised cost results'!$D$8+'Summarised cost results'!$D$14)+'Summarised cost results'!$D$17</f>
        <v>176.95442697640229</v>
      </c>
      <c r="G5" s="54">
        <f>$E$5*('Summarised cost results'!$D$4+'Summarised cost results'!$D$8+'Summarised cost results'!$D$14)+'Summarised cost results'!$D$17</f>
        <v>220.84692828866383</v>
      </c>
      <c r="H5" s="86">
        <f>(MIN(F5:G5)-'Summarised cost results'!$D$17)/'Summarised cost results'!$D$17</f>
        <v>-6.925941295131964E-2</v>
      </c>
      <c r="I5" s="86">
        <f>(MAX(F5:G5)-'Summarised cost results'!$D$17)/'Summarised cost results'!$D$17</f>
        <v>0.16160529688641254</v>
      </c>
      <c r="J5" s="43">
        <f>MIN(F5:G5)</f>
        <v>176.95442697640229</v>
      </c>
      <c r="K5" s="59">
        <f>MAX(F5:G5)-MIN(F5:G5)</f>
        <v>43.892501312261544</v>
      </c>
    </row>
    <row r="6" spans="2:11" x14ac:dyDescent="0.25">
      <c r="C6" s="9" t="s">
        <v>35</v>
      </c>
      <c r="D6" s="55">
        <f>'Input data'!$D$113</f>
        <v>-0.2</v>
      </c>
      <c r="E6" s="55">
        <f>'Input data'!$E$113</f>
        <v>0.2</v>
      </c>
      <c r="F6" s="56">
        <f>$D$6*('Summarised cost results'!$D$5+'Summarised cost results'!$D$9+'Summarised cost results'!$D$15)+'Summarised cost results'!$D$17</f>
        <v>183.30762243231908</v>
      </c>
      <c r="G6" s="56">
        <f>$E$6*('Summarised cost results'!$D$5+'Summarised cost results'!$D$9+'Summarised cost results'!$D$15)+'Summarised cost results'!$D$17</f>
        <v>196.93673230784242</v>
      </c>
      <c r="H6" s="87">
        <f>(MIN(F6:G6)-'Summarised cost results'!$D$17)/'Summarised cost results'!$D$17</f>
        <v>-3.5843030161057193E-2</v>
      </c>
      <c r="I6" s="87">
        <f>(MAX(F6:G6)-'Summarised cost results'!$D$17)/'Summarised cost results'!$D$17</f>
        <v>3.5843030161057193E-2</v>
      </c>
      <c r="J6" s="43">
        <f>MIN(F6:G6)</f>
        <v>183.30762243231908</v>
      </c>
      <c r="K6" s="59">
        <f>MAX(F6:G6)-MIN(F6:G6)</f>
        <v>13.629109875523341</v>
      </c>
    </row>
    <row r="7" spans="2:11" x14ac:dyDescent="0.25">
      <c r="C7" s="9" t="s">
        <v>65</v>
      </c>
      <c r="D7" s="55">
        <f>'Input data'!$D$114</f>
        <v>-0.3</v>
      </c>
      <c r="E7" s="55">
        <f>'Input data'!$E$114</f>
        <v>0.3</v>
      </c>
      <c r="F7" s="56">
        <f>$D$7*'Detailed cost results'!$L$27/'Input data'!$F$20+'Summarised cost results'!$D$17</f>
        <v>172.2888657974546</v>
      </c>
      <c r="G7" s="56">
        <f>$E$7*'Detailed cost results'!$L$27/'Input data'!$F$20+'Summarised cost results'!$D$17</f>
        <v>207.95548894270689</v>
      </c>
      <c r="H7" s="87">
        <f>(MIN(F7:G7)-'Summarised cost results'!$D$17)/'Summarised cost results'!$D$17</f>
        <v>-9.3799218057096304E-2</v>
      </c>
      <c r="I7" s="87">
        <f>(MAX(F7:G7)-'Summarised cost results'!$D$17)/'Summarised cost results'!$D$17</f>
        <v>9.3799218057096304E-2</v>
      </c>
      <c r="J7" s="43">
        <f t="shared" ref="J7:J16" si="0">MIN(F7:G7)</f>
        <v>172.2888657974546</v>
      </c>
      <c r="K7" s="59">
        <f>MAX(F7:G7)-MIN(F7:G7)</f>
        <v>35.666623145252288</v>
      </c>
    </row>
    <row r="8" spans="2:11" x14ac:dyDescent="0.25">
      <c r="C8" s="45" t="s">
        <v>112</v>
      </c>
      <c r="D8" s="57">
        <f>'Input data'!$D$113</f>
        <v>-0.2</v>
      </c>
      <c r="E8" s="57">
        <f>'Input data'!$E$113</f>
        <v>0.2</v>
      </c>
      <c r="F8" s="58">
        <f>$D$8*('Summarised cost results'!$D$6+'Summarised cost results'!$D$11+'Summarised cost results'!$D$16)+'Summarised cost results'!$D$17</f>
        <v>188.35817174048165</v>
      </c>
      <c r="G8" s="58">
        <f>$E$8*('Summarised cost results'!$D$6+'Summarised cost results'!$D$11+'Summarised cost results'!$D$16)+'Summarised cost results'!$D$17</f>
        <v>191.88618299967985</v>
      </c>
      <c r="H8" s="88">
        <f>(MIN(F8:G8)-'Summarised cost results'!$D$17)/'Summarised cost results'!$D$17</f>
        <v>-9.2782738657857192E-3</v>
      </c>
      <c r="I8" s="88">
        <f>(MAX(F8:G8)-'Summarised cost results'!$D$17)/'Summarised cost results'!$D$17</f>
        <v>9.2782738657857192E-3</v>
      </c>
      <c r="J8" s="43">
        <f t="shared" si="0"/>
        <v>188.35817174048165</v>
      </c>
      <c r="K8" s="59">
        <f t="shared" ref="K8:K16" si="1">MAX(F8:G8)-MIN(F8:G8)</f>
        <v>3.5280112591981947</v>
      </c>
    </row>
    <row r="9" spans="2:11" ht="18" x14ac:dyDescent="0.25">
      <c r="C9" s="10" t="s">
        <v>109</v>
      </c>
      <c r="D9" s="55">
        <f>'Input data'!$D$115</f>
        <v>-0.3</v>
      </c>
      <c r="E9" s="55">
        <f>'Input data'!$E$115</f>
        <v>0.3</v>
      </c>
      <c r="F9" s="59">
        <f>$D$9*'Summarised cost results'!$D3+'Summarised cost results'!$D$17</f>
        <v>169.43836169529223</v>
      </c>
      <c r="G9" s="59">
        <f>$E$9*'Summarised cost results'!$D3+'Summarised cost results'!$D$17</f>
        <v>210.80599304486927</v>
      </c>
      <c r="H9" s="85">
        <f>(MIN(F9:G9)-'Summarised cost results'!$D$17)/'Summarised cost results'!$D$17</f>
        <v>-0.1087922301380265</v>
      </c>
      <c r="I9" s="85">
        <f>(MAX(F9:G9)-'Summarised cost results'!$D$17)/'Summarised cost results'!$D$17</f>
        <v>0.1087922301380265</v>
      </c>
      <c r="J9" s="121">
        <f t="shared" si="0"/>
        <v>169.43836169529223</v>
      </c>
      <c r="K9" s="54">
        <f t="shared" si="1"/>
        <v>41.367631349577039</v>
      </c>
    </row>
    <row r="10" spans="2:11" x14ac:dyDescent="0.25">
      <c r="C10" s="10" t="s">
        <v>38</v>
      </c>
      <c r="D10" s="55">
        <f>'Input data'!$D$116</f>
        <v>-0.3</v>
      </c>
      <c r="E10" s="55">
        <f>'Input data'!$E$116</f>
        <v>0.3</v>
      </c>
      <c r="F10" s="59">
        <f>$D$10*'Summarised cost results'!$D7+'Summarised cost results'!$D$17</f>
        <v>162.46310325104284</v>
      </c>
      <c r="G10" s="59">
        <f>$E$10*'Summarised cost results'!$D7+'Summarised cost results'!$D$17</f>
        <v>217.78125148911866</v>
      </c>
      <c r="H10" s="85">
        <f>(MIN(F10:G10)-'Summarised cost results'!$D$17)/'Summarised cost results'!$D$17</f>
        <v>-0.14548052469017525</v>
      </c>
      <c r="I10" s="85">
        <f>(MAX(F10:G10)-'Summarised cost results'!$D$17)/'Summarised cost results'!$D$17</f>
        <v>0.14548052469017525</v>
      </c>
      <c r="J10" s="43">
        <f t="shared" si="0"/>
        <v>162.46310325104284</v>
      </c>
      <c r="K10" s="56">
        <f t="shared" si="1"/>
        <v>55.318148238075821</v>
      </c>
    </row>
    <row r="11" spans="2:11" x14ac:dyDescent="0.25">
      <c r="C11" s="9" t="s">
        <v>12</v>
      </c>
      <c r="D11" s="55">
        <f>'Input data'!$D$117</f>
        <v>-0.3</v>
      </c>
      <c r="E11" s="55">
        <f>'Input data'!$E$117</f>
        <v>0.3</v>
      </c>
      <c r="F11" s="56">
        <f>$D$11*'Summarised cost results'!$D$13+'Summarised cost results'!$D$17</f>
        <v>181.42841395288298</v>
      </c>
      <c r="G11" s="56">
        <f>$E$11*'Summarised cost results'!$D13+'Summarised cost results'!$D$17</f>
        <v>198.81594078727852</v>
      </c>
      <c r="H11" s="85">
        <f>(MIN(F11:G11)-'Summarised cost results'!$D$17)/'Summarised cost results'!$D$17</f>
        <v>-4.5727245171798124E-2</v>
      </c>
      <c r="I11" s="85">
        <f>(MAX(F11:G11)-'Summarised cost results'!$D$17)/'Summarised cost results'!$D$17</f>
        <v>4.5727245171798124E-2</v>
      </c>
      <c r="J11" s="122">
        <f>MIN(F11:G11)</f>
        <v>181.42841395288298</v>
      </c>
      <c r="K11" s="58">
        <f>MAX(F11:G11)-MIN(F11:G11)</f>
        <v>17.387526834395544</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181.09377723997093</v>
      </c>
      <c r="G12" s="54">
        <f>'Summarised cost results'!$D$17+'Sensitivity analyses'!$E$12*('Summarised cost results'!$D$8+'Summarised cost results'!$D$9)*'Detailed cost results'!$H$10/SUM('Detailed cost results'!$H$10:$J$10)</f>
        <v>190.12217737008075</v>
      </c>
      <c r="H12" s="86">
        <f>(MIN(F12:G12)-'Summarised cost results'!$D$17)/'Summarised cost results'!$D$17</f>
        <v>-4.7487359207630253E-2</v>
      </c>
      <c r="I12" s="86">
        <f>(MAX(F12:G12)-'Summarised cost results'!$D$17)/'Summarised cost results'!$D$17</f>
        <v>0</v>
      </c>
      <c r="J12" s="43">
        <f t="shared" si="0"/>
        <v>181.09377723997093</v>
      </c>
      <c r="K12" s="59">
        <f t="shared" si="1"/>
        <v>9.0284001301098158</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150.64079749526871</v>
      </c>
      <c r="G13" s="58">
        <f>($E$13*'Detailed cost results'!$L$27/'Input data'!$F$20*'Input data'!I81+'Summarised cost results'!$D$17)/(('Input data'!F20)/('Input data'!F20+('Input data'!F19-'Input data'!F20)*'Sensitivity analyses'!E13))</f>
        <v>190.12217737008075</v>
      </c>
      <c r="H13" s="88">
        <f>(MIN(F13:G13)-'Summarised cost results'!$D$17)/'Summarised cost results'!$D$17</f>
        <v>-0.20766320068994309</v>
      </c>
      <c r="I13" s="88">
        <f>(MAX(F13:G13)-'Summarised cost results'!$D$17)/'Summarised cost results'!$D$17</f>
        <v>0</v>
      </c>
      <c r="J13" s="43">
        <f t="shared" si="0"/>
        <v>150.64079749526871</v>
      </c>
      <c r="K13" s="59">
        <f t="shared" si="1"/>
        <v>39.481379874812035</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241.99051127278307</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180.921295631014</v>
      </c>
      <c r="H14" s="86">
        <f>(MIN(F14:G14)-'Summarised cost results'!$D$17)/'Summarised cost results'!$D$17</f>
        <v>-4.8394573775351016E-2</v>
      </c>
      <c r="I14" s="86">
        <f>(MAX(F14:G14)-'Summarised cost results'!$D$17)/'Summarised cost results'!$D$17</f>
        <v>0.27281579992500526</v>
      </c>
      <c r="J14" s="121">
        <f t="shared" si="0"/>
        <v>180.921295631014</v>
      </c>
      <c r="K14" s="54">
        <f t="shared" si="1"/>
        <v>61.069215641769063</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164.62894382154411</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217.54843292401273</v>
      </c>
      <c r="H15" s="87">
        <f>(MIN(F15:G15)-'Summarised cost results'!$D$17)/'Summarised cost results'!$D$17</f>
        <v>-0.13408868918491815</v>
      </c>
      <c r="I15" s="87">
        <f>(MAX(F15:G15)-'Summarised cost results'!$D$17)/'Summarised cost results'!$D$17</f>
        <v>0.1442559512694073</v>
      </c>
      <c r="J15" s="43">
        <f t="shared" si="0"/>
        <v>164.62894382154411</v>
      </c>
      <c r="K15" s="56">
        <f t="shared" si="1"/>
        <v>52.919489102468617</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222.59060299832902</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186.51457452249761</v>
      </c>
      <c r="H16" s="88">
        <f>(MIN(F16:G16)-'Summarised cost results'!$D$17)/'Summarised cost results'!$D$17</f>
        <v>-1.8975181630498522E-2</v>
      </c>
      <c r="I16" s="88">
        <f>(MAX(F16:G16)-'Summarised cost results'!$D$17)/'Summarised cost results'!$D$17</f>
        <v>0.17077663467448684</v>
      </c>
      <c r="J16" s="122">
        <f t="shared" si="0"/>
        <v>186.51457452249761</v>
      </c>
      <c r="K16" s="58">
        <f t="shared" si="1"/>
        <v>36.076028475831407</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