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F106" i="2" l="1"/>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<sst xmlns="http://schemas.openxmlformats.org/spreadsheetml/2006/main" count="341" uniqueCount="167">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</sst>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20">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2" fontId="4" fillId="3" borderId="0" xfId="2" applyNumberFormat="1" applyBorder="1" applyAlignment="1" applyProtection="1">
      <protection locked="0"/>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22.370404097783481</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4.455553000692495</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20.570696530120316</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10.217080554644108</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0.54643211667744906</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59.269765870879816</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41.709590187021085</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17.850034086313574</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8.2955859305083273</c:v>
                </c:pt>
              </c:numCache>
            </c:numRef>
          </c:val>
        </c:ser>
        <c:dLbls>
          <c:showLegendKey val="0"/>
          <c:showVal val="0"/>
          <c:showCatName val="0"/>
          <c:showSerName val="0"/>
          <c:showPercent val="0"/>
          <c:showBubbleSize val="0"/>
        </c:dLbls>
        <c:gapWidth val="150"/>
        <c:overlap val="100"/>
        <c:axId val="307381072"/>
        <c:axId val="307383816"/>
      </c:barChart>
      <c:catAx>
        <c:axId val="3073810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07383816"/>
        <c:crosses val="autoZero"/>
        <c:auto val="1"/>
        <c:lblAlgn val="ctr"/>
        <c:lblOffset val="100"/>
        <c:noMultiLvlLbl val="0"/>
      </c:catAx>
      <c:valAx>
        <c:axId val="3073838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07381072"/>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26.825957098475975</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90.603975072321688</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67.855210203842987</c:v>
                </c:pt>
              </c:numCache>
            </c:numRef>
          </c:val>
        </c:ser>
        <c:dLbls>
          <c:showLegendKey val="0"/>
          <c:showVal val="0"/>
          <c:showCatName val="0"/>
          <c:showSerName val="0"/>
          <c:showPercent val="0"/>
          <c:showBubbleSize val="0"/>
        </c:dLbls>
        <c:gapWidth val="150"/>
        <c:overlap val="100"/>
        <c:axId val="307380680"/>
        <c:axId val="307382640"/>
      </c:barChart>
      <c:catAx>
        <c:axId val="3073806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07382640"/>
        <c:crosses val="autoZero"/>
        <c:auto val="1"/>
        <c:lblAlgn val="ctr"/>
        <c:lblOffset val="100"/>
        <c:noMultiLvlLbl val="0"/>
      </c:catAx>
      <c:valAx>
        <c:axId val="3073826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07380680"/>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172.58753875240191</c:v>
                </c:pt>
                <c:pt idx="1">
                  <c:v>178.78060884631063</c:v>
                </c:pt>
                <c:pt idx="2">
                  <c:v>167.50421261337672</c:v>
                </c:pt>
                <c:pt idx="3">
                  <c:v>183.51673876520351</c:v>
                </c:pt>
                <c:pt idx="4">
                  <c:v>164.92857931348777</c:v>
                </c:pt>
                <c:pt idx="5">
                  <c:v>158.10394985294414</c:v>
                </c:pt>
                <c:pt idx="6">
                  <c:v>177.23735524509786</c:v>
                </c:pt>
                <c:pt idx="7">
                  <c:v>176.58039242631426</c:v>
                </c:pt>
                <c:pt idx="8">
                  <c:v>146.6387555098398</c:v>
                </c:pt>
                <c:pt idx="9">
                  <c:v>176.41277269835552</c:v>
                </c:pt>
                <c:pt idx="10">
                  <c:v>160.70212971335269</c:v>
                </c:pt>
                <c:pt idx="11">
                  <c:v>181.8063468616985</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42.325345407462464</c:v>
                </c:pt>
                <c:pt idx="1">
                  <c:v>13.009067056660058</c:v>
                </c:pt>
                <c:pt idx="2">
                  <c:v>35.561859522527868</c:v>
                </c:pt>
                <c:pt idx="3">
                  <c:v>3.5368072188742872</c:v>
                </c:pt>
                <c:pt idx="4">
                  <c:v>40.713126122305766</c:v>
                </c:pt>
                <c:pt idx="5">
                  <c:v>54.362385043393033</c:v>
                </c:pt>
                <c:pt idx="6">
                  <c:v>16.095574259085595</c:v>
                </c:pt>
                <c:pt idx="7">
                  <c:v>8.7047499483263948</c:v>
                </c:pt>
                <c:pt idx="8">
                  <c:v>38.64638686480086</c:v>
                </c:pt>
                <c:pt idx="9">
                  <c:v>58.888775269652172</c:v>
                </c:pt>
                <c:pt idx="10">
                  <c:v>51.030029915900968</c:v>
                </c:pt>
                <c:pt idx="11">
                  <c:v>34.787955129421221</c:v>
                </c:pt>
              </c:numCache>
            </c:numRef>
          </c:val>
        </c:ser>
        <c:dLbls>
          <c:showLegendKey val="0"/>
          <c:showVal val="0"/>
          <c:showCatName val="0"/>
          <c:showSerName val="0"/>
          <c:showPercent val="0"/>
          <c:showBubbleSize val="0"/>
        </c:dLbls>
        <c:gapWidth val="55"/>
        <c:overlap val="100"/>
        <c:axId val="501864728"/>
        <c:axId val="501867864"/>
      </c:barChart>
      <c:catAx>
        <c:axId val="501864728"/>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501867864"/>
        <c:crosses val="autoZero"/>
        <c:auto val="1"/>
        <c:lblAlgn val="ctr"/>
        <c:lblOffset val="100"/>
        <c:noMultiLvlLbl val="0"/>
      </c:catAx>
      <c:valAx>
        <c:axId val="501867864"/>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501864728"/>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161925</xdr:colOff>
      <xdr:row>1</xdr:row>
      <xdr:rowOff>114300</xdr:rowOff>
    </xdr:from>
    <xdr:to>
      <xdr:col>29</xdr:col>
      <xdr:colOff>375881</xdr:colOff>
      <xdr:row>6</xdr:row>
      <xdr:rowOff>183338</xdr:rowOff>
    </xdr:to>
    <xdr:pic>
      <xdr:nvPicPr>
        <xdr:cNvPr id="9" name="Picture 8"/>
        <xdr:cNvPicPr>
          <a:picLocks noChangeAspect="1"/>
        </xdr:cNvPicPr>
      </xdr:nvPicPr>
      <xdr:blipFill>
        <a:blip xmlns:r="http://schemas.openxmlformats.org/officeDocument/2006/relationships" r:embed="rId3"/>
        <a:stretch>
          <a:fillRect/>
        </a:stretch>
      </xdr:blipFill>
      <xdr:spPr>
        <a:xfrm>
          <a:off x="16106775" y="304800"/>
          <a:ext cx="1395056" cy="1021538"/>
        </a:xfrm>
        <a:prstGeom prst="rect">
          <a:avLst/>
        </a:prstGeom>
      </xdr:spPr>
    </xdr:pic>
    <xdr:clientData/>
  </xdr:twoCellAnchor>
  <xdr:twoCellAnchor editAs="oneCell">
    <xdr:from>
      <xdr:col>26</xdr:col>
      <xdr:colOff>278957</xdr:colOff>
      <xdr:row>1</xdr:row>
      <xdr:rowOff>117892</xdr:rowOff>
    </xdr:from>
    <xdr:to>
      <xdr:col>29</xdr:col>
      <xdr:colOff>371474</xdr:colOff>
      <xdr:row>6</xdr:row>
      <xdr:rowOff>180975</xdr:rowOff>
    </xdr:to>
    <xdr:pic>
      <xdr:nvPicPr>
        <xdr:cNvPr id="2" name="Picture 1"/>
        <xdr:cNvPicPr>
          <a:picLocks noChangeAspect="1"/>
        </xdr:cNvPicPr>
      </xdr:nvPicPr>
      <xdr:blipFill>
        <a:blip xmlns:r="http://schemas.openxmlformats.org/officeDocument/2006/relationships" r:embed="rId4"/>
        <a:stretch>
          <a:fillRect/>
        </a:stretch>
      </xdr:blipFill>
      <xdr:spPr>
        <a:xfrm>
          <a:off x="15633257" y="308392"/>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YGt/2cSsjWZDvGH2IQK8L1JbHQVyB0T9DenPmre1T+hrZTXzbfgUewc0O+b2TuuFukxoD3VFEKGLUKTzViPzMA==" saltValue="1G/66Le5kWYxiQbH2I6lN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A107" sqref="A107"/>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6" t="s">
        <v>155</v>
      </c>
      <c r="C5" s="146"/>
      <c r="D5" s="146"/>
      <c r="E5" s="123">
        <v>8</v>
      </c>
      <c r="F5" s="102" t="s">
        <v>28</v>
      </c>
    </row>
    <row r="6" spans="1:8" x14ac:dyDescent="0.25">
      <c r="B6" s="146" t="s">
        <v>27</v>
      </c>
      <c r="C6" s="146"/>
      <c r="D6" s="146"/>
      <c r="E6" s="123">
        <v>4</v>
      </c>
      <c r="F6" s="102" t="s">
        <v>29</v>
      </c>
    </row>
    <row r="7" spans="1:8" x14ac:dyDescent="0.25">
      <c r="B7" s="146" t="s">
        <v>25</v>
      </c>
      <c r="C7" s="146"/>
      <c r="D7" s="146"/>
      <c r="E7" s="123">
        <v>25</v>
      </c>
      <c r="F7" s="102" t="s">
        <v>115</v>
      </c>
    </row>
    <row r="8" spans="1:8" ht="12.75" customHeight="1" x14ac:dyDescent="0.25">
      <c r="B8" s="146" t="s">
        <v>30</v>
      </c>
      <c r="C8" s="146"/>
      <c r="D8" s="146"/>
      <c r="E8" s="72">
        <f>'Discount factors'!D59</f>
        <v>11.528758283675661</v>
      </c>
      <c r="F8" s="102" t="s">
        <v>29</v>
      </c>
      <c r="G8" t="s">
        <v>165</v>
      </c>
    </row>
    <row r="9" spans="1:8" x14ac:dyDescent="0.25">
      <c r="B9" s="146" t="s">
        <v>161</v>
      </c>
      <c r="C9" s="146"/>
      <c r="D9" s="146"/>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0" t="s">
        <v>119</v>
      </c>
      <c r="C16" s="141"/>
      <c r="D16" s="141"/>
      <c r="E16" s="141"/>
      <c r="F16" s="125">
        <v>67.406179833187366</v>
      </c>
      <c r="G16" s="5" t="s">
        <v>97</v>
      </c>
      <c r="H16" t="s">
        <v>162</v>
      </c>
    </row>
    <row r="17" spans="1:12" ht="18" x14ac:dyDescent="0.35">
      <c r="B17" s="140" t="s">
        <v>98</v>
      </c>
      <c r="C17" s="141"/>
      <c r="D17" s="141"/>
      <c r="E17" s="141"/>
      <c r="F17" s="125">
        <v>22.734574239387552</v>
      </c>
      <c r="G17" s="5" t="s">
        <v>97</v>
      </c>
    </row>
    <row r="18" spans="1:12" x14ac:dyDescent="0.25">
      <c r="B18" s="46"/>
      <c r="C18" s="46"/>
      <c r="G18" s="60"/>
    </row>
    <row r="19" spans="1:12" ht="18" x14ac:dyDescent="0.35">
      <c r="B19" s="140" t="s">
        <v>93</v>
      </c>
      <c r="C19" s="147"/>
      <c r="D19" s="141"/>
      <c r="E19" s="141"/>
      <c r="F19" s="43">
        <f>F16*'Input data'!E12/1000</f>
        <v>566.21191059877378</v>
      </c>
      <c r="G19" s="5" t="s">
        <v>95</v>
      </c>
    </row>
    <row r="20" spans="1:12" ht="18" x14ac:dyDescent="0.35">
      <c r="B20" s="148" t="s">
        <v>94</v>
      </c>
      <c r="C20" s="147"/>
      <c r="D20" s="141"/>
      <c r="E20" s="141"/>
      <c r="F20" s="43">
        <f>(F16-F17)*'Input data'!E12/1000</f>
        <v>375.24148698791834</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49" t="s">
        <v>135</v>
      </c>
      <c r="E25" s="150"/>
      <c r="F25" s="150"/>
      <c r="G25" s="151"/>
      <c r="H25" s="149" t="s">
        <v>38</v>
      </c>
      <c r="I25" s="150"/>
      <c r="J25" s="151"/>
      <c r="K25" s="152" t="s">
        <v>12</v>
      </c>
      <c r="L25" s="153"/>
    </row>
    <row r="26" spans="1:12" ht="42" customHeight="1" x14ac:dyDescent="0.25">
      <c r="A26" s="2"/>
      <c r="B26" s="6"/>
      <c r="D26" s="106" t="s">
        <v>13</v>
      </c>
      <c r="E26" s="107" t="s">
        <v>7</v>
      </c>
      <c r="F26" s="107" t="s">
        <v>8</v>
      </c>
      <c r="G26" s="108" t="s">
        <v>134</v>
      </c>
      <c r="H26" s="106" t="s">
        <v>9</v>
      </c>
      <c r="I26" s="107" t="s">
        <v>10</v>
      </c>
      <c r="J26" s="108" t="s">
        <v>11</v>
      </c>
      <c r="K26" s="154"/>
      <c r="L26" s="155"/>
    </row>
    <row r="27" spans="1:12" x14ac:dyDescent="0.25">
      <c r="A27" s="2"/>
      <c r="B27" s="9" t="s">
        <v>0</v>
      </c>
      <c r="C27" s="80"/>
      <c r="D27" s="137">
        <v>11300</v>
      </c>
      <c r="E27" s="126">
        <v>30500</v>
      </c>
      <c r="F27" s="126">
        <v>13100</v>
      </c>
      <c r="G27" s="127">
        <v>6520</v>
      </c>
      <c r="H27" s="137">
        <v>26660</v>
      </c>
      <c r="I27" s="126">
        <v>2960</v>
      </c>
      <c r="J27" s="127">
        <v>1210</v>
      </c>
      <c r="K27" s="156">
        <v>24300</v>
      </c>
      <c r="L27" s="157"/>
    </row>
    <row r="28" spans="1:12" x14ac:dyDescent="0.25">
      <c r="A28" s="2"/>
      <c r="B28" s="9" t="s">
        <v>1</v>
      </c>
      <c r="C28" s="80"/>
      <c r="D28" s="137">
        <v>7400</v>
      </c>
      <c r="E28" s="126">
        <v>17900</v>
      </c>
      <c r="F28" s="126">
        <v>7700</v>
      </c>
      <c r="G28" s="127">
        <v>4700</v>
      </c>
      <c r="H28" s="137">
        <v>15200</v>
      </c>
      <c r="I28" s="126">
        <v>2100</v>
      </c>
      <c r="J28" s="127">
        <v>700</v>
      </c>
      <c r="K28" s="156">
        <v>30800</v>
      </c>
      <c r="L28" s="157"/>
    </row>
    <row r="29" spans="1:12" x14ac:dyDescent="0.25">
      <c r="A29" s="2"/>
      <c r="B29" s="9" t="s">
        <v>3</v>
      </c>
      <c r="C29" s="80"/>
      <c r="D29" s="137">
        <v>1100</v>
      </c>
      <c r="E29" s="126">
        <v>2800</v>
      </c>
      <c r="F29" s="126">
        <v>1200</v>
      </c>
      <c r="G29" s="127">
        <v>700</v>
      </c>
      <c r="H29" s="137">
        <v>2300</v>
      </c>
      <c r="I29" s="126">
        <v>300</v>
      </c>
      <c r="J29" s="127">
        <v>100</v>
      </c>
      <c r="K29" s="156">
        <v>1000</v>
      </c>
      <c r="L29" s="157"/>
    </row>
    <row r="30" spans="1:12" x14ac:dyDescent="0.25">
      <c r="A30" s="2"/>
      <c r="B30" s="9" t="s">
        <v>4</v>
      </c>
      <c r="C30" s="80"/>
      <c r="D30" s="138">
        <v>3700</v>
      </c>
      <c r="E30" s="128">
        <v>9700</v>
      </c>
      <c r="F30" s="128">
        <v>4200</v>
      </c>
      <c r="G30" s="129">
        <v>2200</v>
      </c>
      <c r="H30" s="138">
        <v>8300</v>
      </c>
      <c r="I30" s="128">
        <v>1000</v>
      </c>
      <c r="J30" s="129">
        <v>400</v>
      </c>
      <c r="K30" s="163">
        <v>11000</v>
      </c>
      <c r="L30" s="164"/>
    </row>
    <row r="31" spans="1:12" x14ac:dyDescent="0.25">
      <c r="A31" s="2"/>
      <c r="D31" t="s">
        <v>166</v>
      </c>
    </row>
    <row r="32" spans="1:12" x14ac:dyDescent="0.25">
      <c r="A32" s="2"/>
    </row>
    <row r="33" spans="2:11" x14ac:dyDescent="0.25">
      <c r="B33" s="2" t="s">
        <v>32</v>
      </c>
    </row>
    <row r="34" spans="2:11" x14ac:dyDescent="0.25">
      <c r="B34" s="143" t="s">
        <v>32</v>
      </c>
      <c r="C34" s="143"/>
      <c r="D34" s="143"/>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0" t="s">
        <v>48</v>
      </c>
      <c r="C48" s="140"/>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8" t="s">
        <v>109</v>
      </c>
      <c r="F53" s="159"/>
      <c r="G53" s="84" t="s">
        <v>38</v>
      </c>
      <c r="H53" s="166" t="s">
        <v>12</v>
      </c>
      <c r="I53" s="167"/>
    </row>
    <row r="54" spans="1:9" x14ac:dyDescent="0.25">
      <c r="B54" s="148" t="s">
        <v>101</v>
      </c>
      <c r="C54" s="141"/>
      <c r="D54" s="141"/>
      <c r="E54" s="165">
        <v>15</v>
      </c>
      <c r="F54" s="165"/>
      <c r="G54" s="139">
        <v>10</v>
      </c>
      <c r="H54" s="165">
        <v>0</v>
      </c>
      <c r="I54" s="162"/>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42" t="s">
        <v>63</v>
      </c>
      <c r="C66" s="141"/>
      <c r="D66" s="141"/>
      <c r="E66" s="141"/>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8" t="s">
        <v>109</v>
      </c>
      <c r="F74" s="159"/>
      <c r="G74" s="84" t="s">
        <v>38</v>
      </c>
      <c r="H74" s="166" t="s">
        <v>12</v>
      </c>
      <c r="I74" s="167"/>
    </row>
    <row r="75" spans="1:10" ht="15.75" x14ac:dyDescent="0.25">
      <c r="A75" s="101"/>
      <c r="B75" s="9" t="s">
        <v>42</v>
      </c>
      <c r="C75" s="80"/>
      <c r="D75" s="80"/>
      <c r="E75" s="160" t="s">
        <v>29</v>
      </c>
      <c r="F75" s="141"/>
      <c r="G75" s="136">
        <v>398.34</v>
      </c>
      <c r="H75" s="160" t="s">
        <v>29</v>
      </c>
      <c r="I75" s="141"/>
      <c r="J75" s="5" t="s">
        <v>136</v>
      </c>
    </row>
    <row r="76" spans="1:10" ht="15.75" x14ac:dyDescent="0.25">
      <c r="A76" s="101"/>
      <c r="B76" s="9" t="s">
        <v>137</v>
      </c>
      <c r="C76" s="80"/>
      <c r="D76" s="80"/>
      <c r="E76" s="161">
        <v>0.12</v>
      </c>
      <c r="F76" s="161"/>
      <c r="G76" s="61" t="s">
        <v>29</v>
      </c>
      <c r="H76" s="160" t="s">
        <v>29</v>
      </c>
      <c r="I76" s="141"/>
      <c r="J76" s="5" t="s">
        <v>138</v>
      </c>
    </row>
    <row r="77" spans="1:10" ht="15.75" x14ac:dyDescent="0.25">
      <c r="A77" s="101"/>
      <c r="B77" s="9" t="s">
        <v>139</v>
      </c>
      <c r="C77" s="80"/>
      <c r="D77" s="80"/>
      <c r="E77" s="161">
        <v>140.4</v>
      </c>
      <c r="F77" s="161"/>
      <c r="G77" s="61" t="s">
        <v>29</v>
      </c>
      <c r="H77" s="160" t="s">
        <v>29</v>
      </c>
      <c r="I77" s="141"/>
      <c r="J77" s="5" t="s">
        <v>140</v>
      </c>
    </row>
    <row r="78" spans="1:10" ht="15.75" x14ac:dyDescent="0.25">
      <c r="A78" s="101"/>
      <c r="B78" s="9" t="s">
        <v>141</v>
      </c>
      <c r="C78" s="80"/>
      <c r="D78" s="80"/>
      <c r="E78" s="160" t="s">
        <v>29</v>
      </c>
      <c r="F78" s="141"/>
      <c r="G78" s="136">
        <v>244.1</v>
      </c>
      <c r="H78" s="160" t="s">
        <v>29</v>
      </c>
      <c r="I78" s="141"/>
      <c r="J78" s="5" t="s">
        <v>138</v>
      </c>
    </row>
    <row r="79" spans="1:10" ht="15.75" x14ac:dyDescent="0.25">
      <c r="A79" s="101"/>
      <c r="B79" s="9" t="s">
        <v>142</v>
      </c>
      <c r="C79" s="80"/>
      <c r="D79" s="80"/>
      <c r="E79" s="161">
        <v>0.36</v>
      </c>
      <c r="F79" s="162"/>
      <c r="G79" s="61" t="s">
        <v>29</v>
      </c>
      <c r="H79" s="160" t="s">
        <v>29</v>
      </c>
      <c r="I79" s="141"/>
      <c r="J79" s="5" t="s">
        <v>138</v>
      </c>
    </row>
    <row r="80" spans="1:10" ht="15.75" x14ac:dyDescent="0.25">
      <c r="A80" s="101"/>
      <c r="B80" s="2"/>
      <c r="G80" s="82"/>
      <c r="J80" s="82"/>
    </row>
    <row r="81" spans="1:10" ht="18" x14ac:dyDescent="0.35">
      <c r="A81" s="101"/>
      <c r="B81" s="116" t="s">
        <v>159</v>
      </c>
      <c r="C81" s="116"/>
      <c r="D81" s="116"/>
      <c r="E81" s="116"/>
      <c r="F81" s="116"/>
      <c r="G81" s="5"/>
      <c r="H81" s="120"/>
      <c r="I81" s="133">
        <v>0.68746180851306093</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8" t="s">
        <v>109</v>
      </c>
      <c r="F84" s="159"/>
      <c r="G84" s="84" t="s">
        <v>38</v>
      </c>
      <c r="H84" s="166" t="s">
        <v>12</v>
      </c>
      <c r="I84" s="167"/>
      <c r="J84" s="82"/>
    </row>
    <row r="85" spans="1:10" ht="14.25" hidden="1" customHeight="1" x14ac:dyDescent="0.25">
      <c r="A85" s="101"/>
      <c r="B85" s="9" t="s">
        <v>42</v>
      </c>
      <c r="C85" s="80"/>
      <c r="D85" s="80"/>
      <c r="E85" s="160" t="s">
        <v>29</v>
      </c>
      <c r="F85" s="140"/>
      <c r="G85" s="61">
        <f>'Input data'!G75*'Input data'!$E$12</f>
        <v>3346055.9999999991</v>
      </c>
      <c r="H85" s="160" t="s">
        <v>29</v>
      </c>
      <c r="I85" s="140"/>
      <c r="J85" s="5" t="s">
        <v>143</v>
      </c>
    </row>
    <row r="86" spans="1:10" ht="15" hidden="1" customHeight="1" x14ac:dyDescent="0.25">
      <c r="A86" s="101"/>
      <c r="B86" s="9" t="s">
        <v>137</v>
      </c>
      <c r="C86" s="80"/>
      <c r="D86" s="80"/>
      <c r="E86" s="160">
        <f>'Input data'!E76*'Input data'!$E$12</f>
        <v>1007.9999999999998</v>
      </c>
      <c r="F86" s="140"/>
      <c r="G86" s="61" t="s">
        <v>29</v>
      </c>
      <c r="H86" s="160" t="s">
        <v>29</v>
      </c>
      <c r="I86" s="140"/>
      <c r="J86" s="5" t="s">
        <v>144</v>
      </c>
    </row>
    <row r="87" spans="1:10" ht="20.25" hidden="1" customHeight="1" x14ac:dyDescent="0.25">
      <c r="A87" s="101"/>
      <c r="B87" s="9" t="s">
        <v>139</v>
      </c>
      <c r="C87" s="80"/>
      <c r="D87" s="80"/>
      <c r="E87" s="160">
        <f>'Input data'!E77*'Input data'!$E$12/1000</f>
        <v>1179.3599999999997</v>
      </c>
      <c r="F87" s="140"/>
      <c r="G87" s="61" t="s">
        <v>29</v>
      </c>
      <c r="H87" s="160" t="s">
        <v>29</v>
      </c>
      <c r="I87" s="140"/>
      <c r="J87" s="5" t="s">
        <v>144</v>
      </c>
    </row>
    <row r="88" spans="1:10" ht="15.75" x14ac:dyDescent="0.25">
      <c r="A88" s="101"/>
      <c r="B88" s="9" t="s">
        <v>145</v>
      </c>
      <c r="C88" s="80"/>
      <c r="D88" s="80"/>
      <c r="E88" s="161">
        <v>4.08</v>
      </c>
      <c r="F88" s="168"/>
      <c r="G88" s="61" t="s">
        <v>29</v>
      </c>
      <c r="H88" s="160" t="s">
        <v>29</v>
      </c>
      <c r="I88" s="140"/>
      <c r="J88" s="5" t="s">
        <v>144</v>
      </c>
    </row>
    <row r="89" spans="1:10" ht="14.25" hidden="1" x14ac:dyDescent="0.25">
      <c r="A89" s="101"/>
      <c r="B89" s="9" t="s">
        <v>141</v>
      </c>
      <c r="C89" s="80"/>
      <c r="D89" s="80"/>
      <c r="E89" s="160" t="s">
        <v>29</v>
      </c>
      <c r="F89" s="140"/>
      <c r="G89" s="61">
        <f>'Input data'!G78*'Input data'!$E$12</f>
        <v>2050439.9999999995</v>
      </c>
      <c r="H89" s="160" t="s">
        <v>29</v>
      </c>
      <c r="I89" s="140"/>
      <c r="J89" s="80" t="s">
        <v>144</v>
      </c>
    </row>
    <row r="90" spans="1:10" ht="14.25" hidden="1" x14ac:dyDescent="0.25">
      <c r="A90" s="101"/>
      <c r="B90" s="9" t="s">
        <v>142</v>
      </c>
      <c r="C90" s="80"/>
      <c r="D90" s="80"/>
      <c r="E90" s="160">
        <f>'Input data'!E79*'Input data'!$E$12</f>
        <v>3023.9999999999991</v>
      </c>
      <c r="F90" s="140"/>
      <c r="G90" s="61" t="s">
        <v>29</v>
      </c>
      <c r="H90" s="160" t="s">
        <v>29</v>
      </c>
      <c r="I90" s="140"/>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0.55000000000000004</v>
      </c>
      <c r="G105" s="5" t="s">
        <v>149</v>
      </c>
    </row>
    <row r="106" spans="1:15" hidden="1" x14ac:dyDescent="0.25">
      <c r="B106" s="9" t="s">
        <v>153</v>
      </c>
      <c r="C106" s="80"/>
      <c r="D106" s="80"/>
      <c r="E106" s="80"/>
      <c r="F106" s="135">
        <f>F105*E12</f>
        <v>4619.9999999999991</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44" t="s">
        <v>85</v>
      </c>
      <c r="E111" s="145"/>
    </row>
    <row r="112" spans="1:15" x14ac:dyDescent="0.25">
      <c r="B112" s="140" t="s">
        <v>34</v>
      </c>
      <c r="C112" s="141"/>
      <c r="D112" s="133">
        <v>-0.15</v>
      </c>
      <c r="E112" s="133">
        <v>0.35</v>
      </c>
      <c r="F112" s="5" t="s">
        <v>28</v>
      </c>
    </row>
    <row r="113" spans="2:6" x14ac:dyDescent="0.25">
      <c r="B113" s="140" t="s">
        <v>84</v>
      </c>
      <c r="C113" s="141"/>
      <c r="D113" s="133">
        <v>-0.2</v>
      </c>
      <c r="E113" s="133">
        <v>0.2</v>
      </c>
      <c r="F113" s="5" t="s">
        <v>28</v>
      </c>
    </row>
    <row r="114" spans="2:6" x14ac:dyDescent="0.25">
      <c r="B114" s="140" t="s">
        <v>52</v>
      </c>
      <c r="C114" s="141"/>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44" t="s">
        <v>154</v>
      </c>
      <c r="E121" s="145"/>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3SG3GEC5a6Rvhn9R6/kTasE42h0NmcB7DvK4H663YerVV823Chit/qYDSYp0kvcgE51BVORUcHt1+CNn2ECfZQ==" saltValue="l3p6Vss1MlsGxoIExwHZuQ=="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2" t="s">
        <v>164</v>
      </c>
      <c r="C2" s="173"/>
      <c r="D2" s="174"/>
      <c r="E2" s="169" t="s">
        <v>163</v>
      </c>
      <c r="F2" s="170"/>
      <c r="G2" s="170"/>
      <c r="H2" s="170"/>
      <c r="I2" s="170"/>
      <c r="J2" s="170"/>
      <c r="K2" s="170"/>
      <c r="L2" s="170"/>
      <c r="M2" s="170"/>
      <c r="N2" s="170"/>
      <c r="O2" s="170"/>
      <c r="P2" s="170"/>
      <c r="Q2" s="170"/>
      <c r="R2" s="170"/>
      <c r="S2" s="170"/>
      <c r="T2" s="170"/>
      <c r="U2" s="170"/>
      <c r="V2" s="171"/>
    </row>
    <row r="3" spans="2:22" x14ac:dyDescent="0.25">
      <c r="B3" s="175"/>
      <c r="C3" s="176"/>
      <c r="D3" s="177"/>
      <c r="E3" s="181" t="s">
        <v>116</v>
      </c>
      <c r="F3" s="182"/>
      <c r="G3" s="182"/>
      <c r="H3" s="182"/>
      <c r="I3" s="182"/>
      <c r="J3" s="183"/>
      <c r="K3" s="181" t="s">
        <v>117</v>
      </c>
      <c r="L3" s="182"/>
      <c r="M3" s="182"/>
      <c r="N3" s="182"/>
      <c r="O3" s="182"/>
      <c r="P3" s="183"/>
      <c r="Q3" s="181" t="s">
        <v>118</v>
      </c>
      <c r="R3" s="182"/>
      <c r="S3" s="182"/>
      <c r="T3" s="182"/>
      <c r="U3" s="182"/>
      <c r="V3" s="183"/>
    </row>
    <row r="4" spans="2:22" ht="15.75" thickBot="1" x14ac:dyDescent="0.3">
      <c r="B4" s="178"/>
      <c r="C4" s="179"/>
      <c r="D4" s="180"/>
      <c r="E4" s="184">
        <f>'Input data'!D122</f>
        <v>10</v>
      </c>
      <c r="F4" s="185"/>
      <c r="G4" s="185"/>
      <c r="H4" s="185">
        <f>'Input data'!E122</f>
        <v>40</v>
      </c>
      <c r="I4" s="185"/>
      <c r="J4" s="186"/>
      <c r="K4" s="184">
        <f>'Input data'!D123</f>
        <v>4</v>
      </c>
      <c r="L4" s="185"/>
      <c r="M4" s="185"/>
      <c r="N4" s="185">
        <f>'Input data'!E123</f>
        <v>12</v>
      </c>
      <c r="O4" s="185"/>
      <c r="P4" s="186"/>
      <c r="Q4" s="184">
        <f>'Input data'!D124</f>
        <v>70</v>
      </c>
      <c r="R4" s="185"/>
      <c r="S4" s="185"/>
      <c r="T4" s="185">
        <f>'Input data'!E124</f>
        <v>100</v>
      </c>
      <c r="U4" s="185"/>
      <c r="V4" s="186"/>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2" t="s">
        <v>87</v>
      </c>
      <c r="E3" s="203"/>
      <c r="F3" s="203"/>
      <c r="G3" s="204"/>
      <c r="H3" s="202" t="s">
        <v>38</v>
      </c>
      <c r="I3" s="203"/>
      <c r="J3" s="204"/>
      <c r="K3" s="187" t="s">
        <v>12</v>
      </c>
      <c r="L3" s="187" t="s">
        <v>14</v>
      </c>
    </row>
    <row r="4" spans="2:12" ht="33" x14ac:dyDescent="0.25">
      <c r="C4" s="6"/>
      <c r="D4" s="32" t="s">
        <v>13</v>
      </c>
      <c r="E4" s="33" t="s">
        <v>7</v>
      </c>
      <c r="F4" s="33" t="s">
        <v>8</v>
      </c>
      <c r="G4" s="34" t="s">
        <v>88</v>
      </c>
      <c r="H4" s="32" t="s">
        <v>9</v>
      </c>
      <c r="I4" s="33" t="s">
        <v>10</v>
      </c>
      <c r="J4" s="34" t="s">
        <v>11</v>
      </c>
      <c r="K4" s="188"/>
      <c r="L4" s="189"/>
    </row>
    <row r="5" spans="2:12" x14ac:dyDescent="0.25">
      <c r="C5" s="20" t="s">
        <v>0</v>
      </c>
      <c r="D5" s="110">
        <f>'Input data'!D27</f>
        <v>11300</v>
      </c>
      <c r="E5" s="111">
        <f>'Input data'!E27</f>
        <v>30500</v>
      </c>
      <c r="F5" s="111">
        <f>'Input data'!F27</f>
        <v>13100</v>
      </c>
      <c r="G5" s="112">
        <f>'Input data'!G27</f>
        <v>6520</v>
      </c>
      <c r="H5" s="110">
        <f>'Input data'!H27</f>
        <v>26660</v>
      </c>
      <c r="I5" s="111">
        <f>'Input data'!I27</f>
        <v>2960</v>
      </c>
      <c r="J5" s="112">
        <f>'Input data'!J27</f>
        <v>1210</v>
      </c>
      <c r="K5" s="29">
        <f>'Input data'!K27</f>
        <v>24300</v>
      </c>
      <c r="L5" s="29">
        <f>SUM(D5:K5)</f>
        <v>116550</v>
      </c>
    </row>
    <row r="6" spans="2:12" x14ac:dyDescent="0.25">
      <c r="C6" s="21" t="s">
        <v>1</v>
      </c>
      <c r="D6" s="83">
        <f>'Input data'!D28</f>
        <v>7400</v>
      </c>
      <c r="E6" s="11">
        <f>'Input data'!E28</f>
        <v>17900</v>
      </c>
      <c r="F6" s="11">
        <f>'Input data'!F28</f>
        <v>7700</v>
      </c>
      <c r="G6" s="22">
        <f>'Input data'!G28</f>
        <v>4700</v>
      </c>
      <c r="H6" s="83">
        <f>'Input data'!H28</f>
        <v>15200</v>
      </c>
      <c r="I6" s="11">
        <f>'Input data'!I28</f>
        <v>2100</v>
      </c>
      <c r="J6" s="22">
        <f>'Input data'!J28</f>
        <v>700</v>
      </c>
      <c r="K6" s="28">
        <f>'Input data'!K28</f>
        <v>30800</v>
      </c>
      <c r="L6" s="28">
        <f>SUM(D6:K6)</f>
        <v>86500</v>
      </c>
    </row>
    <row r="7" spans="2:12" x14ac:dyDescent="0.25">
      <c r="C7" s="30" t="s">
        <v>2</v>
      </c>
      <c r="D7" s="24">
        <f t="shared" ref="D7:K7" si="0">D6+D5</f>
        <v>18700</v>
      </c>
      <c r="E7" s="13">
        <f t="shared" si="0"/>
        <v>48400</v>
      </c>
      <c r="F7" s="13">
        <f t="shared" si="0"/>
        <v>20800</v>
      </c>
      <c r="G7" s="25">
        <f t="shared" si="0"/>
        <v>11220</v>
      </c>
      <c r="H7" s="24">
        <f t="shared" si="0"/>
        <v>41860</v>
      </c>
      <c r="I7" s="13">
        <f t="shared" si="0"/>
        <v>5060</v>
      </c>
      <c r="J7" s="25">
        <f t="shared" si="0"/>
        <v>1910</v>
      </c>
      <c r="K7" s="27">
        <f t="shared" si="0"/>
        <v>55100</v>
      </c>
      <c r="L7" s="27">
        <f t="shared" ref="L7:L17" si="1">SUM(D7:K7)</f>
        <v>203050</v>
      </c>
    </row>
    <row r="8" spans="2:12" x14ac:dyDescent="0.25">
      <c r="C8" s="21" t="s">
        <v>3</v>
      </c>
      <c r="D8" s="83">
        <f>'Input data'!D29</f>
        <v>1100</v>
      </c>
      <c r="E8" s="11">
        <f>'Input data'!E29</f>
        <v>2800</v>
      </c>
      <c r="F8" s="11">
        <f>'Input data'!F29</f>
        <v>1200</v>
      </c>
      <c r="G8" s="22">
        <f>'Input data'!G29</f>
        <v>700</v>
      </c>
      <c r="H8" s="83">
        <f>'Input data'!H29</f>
        <v>2300</v>
      </c>
      <c r="I8" s="11">
        <f>'Input data'!I29</f>
        <v>300</v>
      </c>
      <c r="J8" s="22">
        <f>'Input data'!J29</f>
        <v>100</v>
      </c>
      <c r="K8" s="28">
        <f>'Input data'!K29</f>
        <v>1000</v>
      </c>
      <c r="L8" s="28">
        <f>SUM(D8:K8)</f>
        <v>9500</v>
      </c>
    </row>
    <row r="9" spans="2:12" x14ac:dyDescent="0.25">
      <c r="C9" s="21" t="s">
        <v>4</v>
      </c>
      <c r="D9" s="83">
        <f>'Input data'!D30</f>
        <v>3700</v>
      </c>
      <c r="E9" s="11">
        <f>'Input data'!E30</f>
        <v>9700</v>
      </c>
      <c r="F9" s="11">
        <f>'Input data'!F30</f>
        <v>4200</v>
      </c>
      <c r="G9" s="22">
        <f>'Input data'!G30</f>
        <v>2200</v>
      </c>
      <c r="H9" s="83">
        <f>'Input data'!H30</f>
        <v>8300</v>
      </c>
      <c r="I9" s="11">
        <f>'Input data'!I30</f>
        <v>1000</v>
      </c>
      <c r="J9" s="22">
        <f>'Input data'!J30</f>
        <v>400</v>
      </c>
      <c r="K9" s="28">
        <f>'Input data'!K30</f>
        <v>11000</v>
      </c>
      <c r="L9" s="28">
        <f>SUM(D9:K9)</f>
        <v>40500</v>
      </c>
    </row>
    <row r="10" spans="2:12" x14ac:dyDescent="0.25">
      <c r="C10" s="30" t="s">
        <v>5</v>
      </c>
      <c r="D10" s="24">
        <f t="shared" ref="D10:K10" si="2">D7+D8+D9</f>
        <v>23500</v>
      </c>
      <c r="E10" s="13">
        <f t="shared" si="2"/>
        <v>60900</v>
      </c>
      <c r="F10" s="13">
        <f t="shared" si="2"/>
        <v>26200</v>
      </c>
      <c r="G10" s="25">
        <f t="shared" si="2"/>
        <v>14120</v>
      </c>
      <c r="H10" s="24">
        <f t="shared" si="2"/>
        <v>52460</v>
      </c>
      <c r="I10" s="13">
        <f t="shared" si="2"/>
        <v>6360</v>
      </c>
      <c r="J10" s="25">
        <f t="shared" si="2"/>
        <v>2410</v>
      </c>
      <c r="K10" s="27">
        <f t="shared" si="2"/>
        <v>67100</v>
      </c>
      <c r="L10" s="27">
        <f t="shared" si="1"/>
        <v>253050</v>
      </c>
    </row>
    <row r="11" spans="2:12" x14ac:dyDescent="0.25">
      <c r="C11" s="21" t="s">
        <v>86</v>
      </c>
      <c r="D11" s="26">
        <f>D$10*('Input data'!$E$34/100)</f>
        <v>3525</v>
      </c>
      <c r="E11" s="11">
        <f>E$10*('Input data'!$E$34/100)</f>
        <v>9135</v>
      </c>
      <c r="F11" s="11">
        <f>F$10*('Input data'!$E$34/100)</f>
        <v>3930</v>
      </c>
      <c r="G11" s="22">
        <f>G$10*('Input data'!$E$34/100)</f>
        <v>2118</v>
      </c>
      <c r="H11" s="26">
        <f>H$10*('Input data'!$E$34/100)</f>
        <v>7869</v>
      </c>
      <c r="I11" s="11">
        <f>I$10*('Input data'!$E$34/100)</f>
        <v>954</v>
      </c>
      <c r="J11" s="22">
        <f>J$10*('Input data'!$E$34/100)</f>
        <v>361.5</v>
      </c>
      <c r="K11" s="28">
        <f>K$10*('Input data'!$E$34/100)</f>
        <v>10065</v>
      </c>
      <c r="L11" s="28">
        <f t="shared" si="1"/>
        <v>37957.5</v>
      </c>
    </row>
    <row r="12" spans="2:12" x14ac:dyDescent="0.25">
      <c r="C12" s="30" t="s">
        <v>6</v>
      </c>
      <c r="D12" s="205">
        <f>SUM(D10:G11)</f>
        <v>143428</v>
      </c>
      <c r="E12" s="206"/>
      <c r="F12" s="206"/>
      <c r="G12" s="207"/>
      <c r="H12" s="205">
        <f>SUM(H10:J11)</f>
        <v>70414.5</v>
      </c>
      <c r="I12" s="206"/>
      <c r="J12" s="207"/>
      <c r="K12" s="27">
        <f>K10+K11</f>
        <v>77165</v>
      </c>
      <c r="L12" s="27">
        <f t="shared" si="1"/>
        <v>291007.5</v>
      </c>
    </row>
    <row r="13" spans="2:12" x14ac:dyDescent="0.25">
      <c r="C13" s="21" t="s">
        <v>56</v>
      </c>
      <c r="D13" s="190">
        <f>D12*'Input data'!$H$37/100</f>
        <v>717.14</v>
      </c>
      <c r="E13" s="166"/>
      <c r="F13" s="166"/>
      <c r="G13" s="191"/>
      <c r="H13" s="190">
        <f>H12*'Input data'!$H$37/100</f>
        <v>352.07249999999999</v>
      </c>
      <c r="I13" s="166"/>
      <c r="J13" s="191"/>
      <c r="K13" s="28">
        <f>K12*'Input data'!$H$37/100</f>
        <v>385.82499999999999</v>
      </c>
      <c r="L13" s="28">
        <f t="shared" si="1"/>
        <v>1455.0375000000001</v>
      </c>
    </row>
    <row r="14" spans="2:12" x14ac:dyDescent="0.25">
      <c r="C14" s="21" t="s">
        <v>57</v>
      </c>
      <c r="D14" s="190">
        <f>'Input data'!$H$39/12*SUM($D$28:$G$30)+'Input data'!$H$40/100*1/12*$D$27</f>
        <v>259.40399999999988</v>
      </c>
      <c r="E14" s="166"/>
      <c r="F14" s="166"/>
      <c r="G14" s="191"/>
      <c r="H14" s="190">
        <f>'Input data'!$H$39/12*SUM($H$28:$J$30)+'Input data'!$H$40/100*1/12*$H$27</f>
        <v>480.43023080863986</v>
      </c>
      <c r="I14" s="166"/>
      <c r="J14" s="191"/>
      <c r="K14" s="28">
        <f>'Input data'!$H$39/12*SUM($K$28:$K$30)+'Input data'!$H$40/100*1/12*$K$27</f>
        <v>0</v>
      </c>
      <c r="L14" s="28">
        <f t="shared" si="1"/>
        <v>739.83423080863975</v>
      </c>
    </row>
    <row r="15" spans="2:12" x14ac:dyDescent="0.25">
      <c r="C15" s="21" t="s">
        <v>58</v>
      </c>
      <c r="D15" s="190">
        <f>'Input data'!$H$38/12*$D$23+D12*'Input data'!$H$41/100</f>
        <v>3168.56</v>
      </c>
      <c r="E15" s="166"/>
      <c r="F15" s="166"/>
      <c r="G15" s="191"/>
      <c r="H15" s="190">
        <f>'Input data'!$H$38/12*$H$23+H12*'Input data'!$H$41/100</f>
        <v>1608.29</v>
      </c>
      <c r="I15" s="166"/>
      <c r="J15" s="191"/>
      <c r="K15" s="28">
        <f>'Input data'!$H$38/12*$K$23+K12*'Input data'!$H$41/100</f>
        <v>1543.3</v>
      </c>
      <c r="L15" s="28">
        <f t="shared" si="1"/>
        <v>6320.1500000000005</v>
      </c>
    </row>
    <row r="16" spans="2:12" x14ac:dyDescent="0.25">
      <c r="C16" s="31" t="s">
        <v>47</v>
      </c>
      <c r="D16" s="190">
        <f>D12*'Input data'!$H$42/100</f>
        <v>10039.959999999999</v>
      </c>
      <c r="E16" s="166">
        <f>E12*'Input data'!$H$42/100</f>
        <v>0</v>
      </c>
      <c r="F16" s="166">
        <f>F12*'Input data'!$H$42/100</f>
        <v>0</v>
      </c>
      <c r="G16" s="191">
        <f>G12*'Input data'!$H$42/100</f>
        <v>0</v>
      </c>
      <c r="H16" s="190">
        <f>H12*'Input data'!$H$42/100</f>
        <v>4929.0150000000003</v>
      </c>
      <c r="I16" s="166">
        <f>I12*'Input data'!$H$42/100</f>
        <v>0</v>
      </c>
      <c r="J16" s="191">
        <f>J12*'Input data'!$H$42/100</f>
        <v>0</v>
      </c>
      <c r="K16" s="28">
        <f>K12*'Input data'!$H$42/100</f>
        <v>5401.55</v>
      </c>
      <c r="L16" s="28">
        <f t="shared" si="1"/>
        <v>20370.524999999998</v>
      </c>
    </row>
    <row r="17" spans="2:12" x14ac:dyDescent="0.25">
      <c r="C17" s="21" t="s">
        <v>33</v>
      </c>
      <c r="D17" s="190">
        <f>D12*('Input data'!$D$48-1)</f>
        <v>22825.476147200017</v>
      </c>
      <c r="E17" s="166">
        <f>E12*('Input data'!$D$48-1)</f>
        <v>0</v>
      </c>
      <c r="F17" s="166">
        <f>F12*('Input data'!$D$48-1)</f>
        <v>0</v>
      </c>
      <c r="G17" s="191">
        <f>G12*('Input data'!$D$48-1)</f>
        <v>0</v>
      </c>
      <c r="H17" s="190">
        <f>H12*('Input data'!$D$48-1)</f>
        <v>11205.93252480001</v>
      </c>
      <c r="I17" s="166">
        <f>I12*('Input data'!$D$48-1)</f>
        <v>0</v>
      </c>
      <c r="J17" s="191">
        <f>J12*('Input data'!$D$48-1)</f>
        <v>0</v>
      </c>
      <c r="K17" s="28">
        <f>K12*('Input data'!$D$48-1)</f>
        <v>12280.223296000009</v>
      </c>
      <c r="L17" s="28">
        <f t="shared" si="1"/>
        <v>46311.631968000038</v>
      </c>
    </row>
    <row r="18" spans="2:12" x14ac:dyDescent="0.25">
      <c r="C18" s="23" t="s">
        <v>15</v>
      </c>
      <c r="D18" s="192">
        <f>SUM(D12:G17)</f>
        <v>180438.54014720002</v>
      </c>
      <c r="E18" s="193"/>
      <c r="F18" s="193"/>
      <c r="G18" s="194"/>
      <c r="H18" s="192">
        <f>SUM(H12:J17)</f>
        <v>88990.240255608631</v>
      </c>
      <c r="I18" s="208"/>
      <c r="J18" s="209"/>
      <c r="K18" s="15">
        <f>SUM(K12:K17)</f>
        <v>96775.898296000014</v>
      </c>
      <c r="L18" s="15">
        <f>SUM(L12:L17)</f>
        <v>366204.67869880871</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2" t="s">
        <v>87</v>
      </c>
      <c r="E21" s="203"/>
      <c r="F21" s="203"/>
      <c r="G21" s="204"/>
      <c r="H21" s="202" t="s">
        <v>38</v>
      </c>
      <c r="I21" s="203"/>
      <c r="J21" s="204"/>
      <c r="K21" s="187" t="s">
        <v>12</v>
      </c>
      <c r="L21" s="187" t="s">
        <v>14</v>
      </c>
    </row>
    <row r="22" spans="2:12" ht="33" x14ac:dyDescent="0.25">
      <c r="C22" s="6"/>
      <c r="D22" s="32" t="s">
        <v>13</v>
      </c>
      <c r="E22" s="33" t="s">
        <v>7</v>
      </c>
      <c r="F22" s="33" t="s">
        <v>8</v>
      </c>
      <c r="G22" s="34" t="s">
        <v>88</v>
      </c>
      <c r="H22" s="32" t="s">
        <v>9</v>
      </c>
      <c r="I22" s="33" t="s">
        <v>10</v>
      </c>
      <c r="J22" s="34" t="s">
        <v>11</v>
      </c>
      <c r="K22" s="188"/>
      <c r="L22" s="189"/>
    </row>
    <row r="23" spans="2:12" x14ac:dyDescent="0.25">
      <c r="C23" s="16" t="s">
        <v>39</v>
      </c>
      <c r="D23" s="195">
        <f>'Input data'!$E$54*'Input data'!$F$56/1000</f>
        <v>1200</v>
      </c>
      <c r="E23" s="196"/>
      <c r="F23" s="196"/>
      <c r="G23" s="197"/>
      <c r="H23" s="195">
        <f>'Input data'!$G$54*'Input data'!$F$56/1000</f>
        <v>800</v>
      </c>
      <c r="I23" s="196"/>
      <c r="J23" s="197"/>
      <c r="K23" s="19">
        <f>'Input data'!$H$54*'Input data'!$F$56/1000</f>
        <v>0</v>
      </c>
      <c r="L23" s="19">
        <f t="shared" ref="L23:L32" si="3">SUM(D23:K23)</f>
        <v>2000</v>
      </c>
    </row>
    <row r="24" spans="2:12" x14ac:dyDescent="0.25">
      <c r="C24" s="17" t="s">
        <v>40</v>
      </c>
      <c r="D24" s="198">
        <f>(SUM(D10:D11)*'Input data'!$F$59+SUM(E10:G11)*'Input data'!$F$60)/100/('Input data'!$F$66/100)</f>
        <v>4780.9333333333334</v>
      </c>
      <c r="E24" s="144"/>
      <c r="F24" s="144"/>
      <c r="G24" s="199"/>
      <c r="H24" s="198">
        <f>(SUM(H10:H11)*'Input data'!$F$61+SUM(I10:J11)*'Input data'!$F$62)/100/('Input data'!$F$66/100)</f>
        <v>2681.8</v>
      </c>
      <c r="I24" s="144"/>
      <c r="J24" s="199"/>
      <c r="K24" s="14">
        <f>SUM(K10:K11)*'Input data'!$F$63/100/('Input data'!$F$66/100)</f>
        <v>1286.0833333333333</v>
      </c>
      <c r="L24" s="14">
        <f t="shared" si="3"/>
        <v>8748.8166666666675</v>
      </c>
    </row>
    <row r="25" spans="2:12" x14ac:dyDescent="0.25">
      <c r="C25" s="17" t="s">
        <v>41</v>
      </c>
      <c r="D25" s="198">
        <f>D12*'Input data'!$F$69/100</f>
        <v>717.14</v>
      </c>
      <c r="E25" s="144"/>
      <c r="F25" s="144"/>
      <c r="G25" s="199"/>
      <c r="H25" s="198">
        <f>H12*'Input data'!$F$69/100</f>
        <v>352.07249999999999</v>
      </c>
      <c r="I25" s="144"/>
      <c r="J25" s="199"/>
      <c r="K25" s="14">
        <f>K12*'Input data'!$F$69/100</f>
        <v>385.82499999999999</v>
      </c>
      <c r="L25" s="14">
        <f t="shared" si="3"/>
        <v>1455.0375000000001</v>
      </c>
    </row>
    <row r="26" spans="2:12" x14ac:dyDescent="0.25">
      <c r="C26" s="18" t="s">
        <v>17</v>
      </c>
      <c r="D26" s="192">
        <f>SUM(D23:G25)</f>
        <v>6698.0733333333337</v>
      </c>
      <c r="E26" s="193"/>
      <c r="F26" s="193"/>
      <c r="G26" s="194"/>
      <c r="H26" s="192">
        <f>SUM(H23:J25)</f>
        <v>3833.8725000000004</v>
      </c>
      <c r="I26" s="193"/>
      <c r="J26" s="194"/>
      <c r="K26" s="15">
        <f>SUM(K23:K25)</f>
        <v>1671.9083333333333</v>
      </c>
      <c r="L26" s="15">
        <f t="shared" si="3"/>
        <v>12203.854166666668</v>
      </c>
    </row>
    <row r="27" spans="2:12" x14ac:dyDescent="0.25">
      <c r="C27" s="16" t="s">
        <v>42</v>
      </c>
      <c r="D27" s="195">
        <v>0</v>
      </c>
      <c r="E27" s="196"/>
      <c r="F27" s="196"/>
      <c r="G27" s="197"/>
      <c r="H27" s="195">
        <f>'Input data'!$G$85*'Input data'!$F$93/1000</f>
        <v>22240.475078814714</v>
      </c>
      <c r="I27" s="196"/>
      <c r="J27" s="197"/>
      <c r="K27" s="19">
        <v>0</v>
      </c>
      <c r="L27" s="19">
        <f t="shared" si="3"/>
        <v>22240.475078814714</v>
      </c>
    </row>
    <row r="28" spans="2:12" x14ac:dyDescent="0.25">
      <c r="C28" s="17" t="s">
        <v>43</v>
      </c>
      <c r="D28" s="198">
        <f>('Input data'!$E$86*'Input data'!$F$94+'Input data'!$E$87*'Input data'!$F$95+'Input data'!$E$88*'Input data'!$F$96)/1000</f>
        <v>2432.4479999999994</v>
      </c>
      <c r="E28" s="144"/>
      <c r="F28" s="144"/>
      <c r="G28" s="199"/>
      <c r="H28" s="198">
        <v>0</v>
      </c>
      <c r="I28" s="144"/>
      <c r="J28" s="199"/>
      <c r="K28" s="14">
        <v>0</v>
      </c>
      <c r="L28" s="14">
        <f t="shared" si="3"/>
        <v>2432.4479999999994</v>
      </c>
    </row>
    <row r="29" spans="2:12" x14ac:dyDescent="0.25">
      <c r="C29" s="17" t="s">
        <v>44</v>
      </c>
      <c r="D29" s="198">
        <v>0</v>
      </c>
      <c r="E29" s="144"/>
      <c r="F29" s="144"/>
      <c r="G29" s="199"/>
      <c r="H29" s="198">
        <f>'Input data'!$G$89*'Input data'!$F$97/1000</f>
        <v>205.04399999999998</v>
      </c>
      <c r="I29" s="144"/>
      <c r="J29" s="199"/>
      <c r="K29" s="14">
        <v>0</v>
      </c>
      <c r="L29" s="14">
        <f t="shared" si="3"/>
        <v>205.04399999999998</v>
      </c>
    </row>
    <row r="30" spans="2:12" x14ac:dyDescent="0.25">
      <c r="C30" s="17" t="s">
        <v>45</v>
      </c>
      <c r="D30" s="198">
        <f>('Input data'!$E$90*'Input data'!$F$98+'Input data'!$E$88*'Input data'!$F$99)/1000</f>
        <v>680.39999999999975</v>
      </c>
      <c r="E30" s="144"/>
      <c r="F30" s="144"/>
      <c r="G30" s="199"/>
      <c r="H30" s="198">
        <v>0</v>
      </c>
      <c r="I30" s="144"/>
      <c r="J30" s="199"/>
      <c r="K30" s="14">
        <v>0</v>
      </c>
      <c r="L30" s="14">
        <f t="shared" si="3"/>
        <v>680.39999999999975</v>
      </c>
    </row>
    <row r="31" spans="2:12" x14ac:dyDescent="0.25">
      <c r="C31" s="18" t="s">
        <v>18</v>
      </c>
      <c r="D31" s="192">
        <f>SUM(D27:G30)</f>
        <v>3112.847999999999</v>
      </c>
      <c r="E31" s="193"/>
      <c r="F31" s="193"/>
      <c r="G31" s="194"/>
      <c r="H31" s="192">
        <f>SUM(H27:J30)</f>
        <v>22445.519078814716</v>
      </c>
      <c r="I31" s="193"/>
      <c r="J31" s="194"/>
      <c r="K31" s="15">
        <f>SUM(K27:K30)</f>
        <v>0</v>
      </c>
      <c r="L31" s="15">
        <f t="shared" si="3"/>
        <v>25558.367078814714</v>
      </c>
    </row>
    <row r="32" spans="2:12" x14ac:dyDescent="0.25">
      <c r="C32" s="18" t="s">
        <v>16</v>
      </c>
      <c r="D32" s="192">
        <f>D31+D26</f>
        <v>9810.9213333333319</v>
      </c>
      <c r="E32" s="193"/>
      <c r="F32" s="193"/>
      <c r="G32" s="194"/>
      <c r="H32" s="192">
        <f>H26+H31</f>
        <v>26279.391578814717</v>
      </c>
      <c r="I32" s="193"/>
      <c r="J32" s="194"/>
      <c r="K32" s="15">
        <f>K26+K31</f>
        <v>1671.9083333333333</v>
      </c>
      <c r="L32" s="15">
        <f t="shared" si="3"/>
        <v>37762.221245481378</v>
      </c>
    </row>
    <row r="35" spans="2:12" ht="18" x14ac:dyDescent="0.35">
      <c r="D35" s="202" t="s">
        <v>87</v>
      </c>
      <c r="E35" s="203"/>
      <c r="F35" s="203"/>
      <c r="G35" s="204"/>
      <c r="H35" s="202" t="s">
        <v>38</v>
      </c>
      <c r="I35" s="203"/>
      <c r="J35" s="204"/>
      <c r="K35" s="187" t="s">
        <v>12</v>
      </c>
      <c r="L35" s="187" t="s">
        <v>14</v>
      </c>
    </row>
    <row r="36" spans="2:12" ht="33" x14ac:dyDescent="0.25">
      <c r="C36" t="s">
        <v>92</v>
      </c>
      <c r="D36" s="32" t="s">
        <v>13</v>
      </c>
      <c r="E36" s="33" t="s">
        <v>7</v>
      </c>
      <c r="F36" s="33" t="s">
        <v>8</v>
      </c>
      <c r="G36" s="34" t="s">
        <v>88</v>
      </c>
      <c r="H36" s="32" t="s">
        <v>9</v>
      </c>
      <c r="I36" s="33" t="s">
        <v>10</v>
      </c>
      <c r="J36" s="34" t="s">
        <v>11</v>
      </c>
      <c r="K36" s="188"/>
      <c r="L36" s="189"/>
    </row>
    <row r="37" spans="2:12" x14ac:dyDescent="0.25">
      <c r="C37" s="47" t="s">
        <v>90</v>
      </c>
      <c r="D37" s="200">
        <v>0</v>
      </c>
      <c r="E37" s="201"/>
      <c r="F37" s="201"/>
      <c r="G37" s="201"/>
      <c r="H37" s="200">
        <f>-'Input data'!F106*'Input data'!F107/1000*IF('Input data'!F103="No",0,1)</f>
        <v>0</v>
      </c>
      <c r="I37" s="201"/>
      <c r="J37" s="201"/>
      <c r="K37" s="48">
        <v>0</v>
      </c>
      <c r="L37" s="48">
        <f>SUM(D37:K37)</f>
        <v>0</v>
      </c>
    </row>
    <row r="39" spans="2:12" x14ac:dyDescent="0.25">
      <c r="B39" s="2" t="s">
        <v>83</v>
      </c>
    </row>
    <row r="40" spans="2:12" x14ac:dyDescent="0.25">
      <c r="C40" s="6"/>
      <c r="D40" s="38" t="s">
        <v>37</v>
      </c>
    </row>
    <row r="41" spans="2:12" x14ac:dyDescent="0.25">
      <c r="C41" s="35" t="s">
        <v>19</v>
      </c>
      <c r="D41" s="36">
        <f>$L$18/'Input data'!$E$8</f>
        <v>31764.451095946941</v>
      </c>
    </row>
    <row r="42" spans="2:12" x14ac:dyDescent="0.25">
      <c r="C42" s="21" t="s">
        <v>20</v>
      </c>
      <c r="D42" s="37">
        <f>$L$32</f>
        <v>37762.221245481378</v>
      </c>
    </row>
    <row r="43" spans="2:12" x14ac:dyDescent="0.25">
      <c r="C43" s="21" t="s">
        <v>92</v>
      </c>
      <c r="D43" s="37">
        <f>$L$37</f>
        <v>0</v>
      </c>
    </row>
    <row r="44" spans="2:12" x14ac:dyDescent="0.25">
      <c r="C44" s="23" t="s">
        <v>21</v>
      </c>
      <c r="D44" s="39">
        <f>SUM(D41:D43)</f>
        <v>69526.672341428319</v>
      </c>
    </row>
    <row r="45" spans="2:12" x14ac:dyDescent="0.25">
      <c r="D45" s="3"/>
    </row>
    <row r="46" spans="2:12" x14ac:dyDescent="0.25">
      <c r="D46" s="3"/>
    </row>
    <row r="47" spans="2:12" ht="18" x14ac:dyDescent="0.35">
      <c r="C47" s="12" t="s">
        <v>110</v>
      </c>
      <c r="D47" s="40">
        <f>$D$44/'Input data'!$F$19</f>
        <v>122.79267009396409</v>
      </c>
    </row>
    <row r="48" spans="2:12" ht="18" x14ac:dyDescent="0.35">
      <c r="C48" s="12" t="s">
        <v>102</v>
      </c>
      <c r="D48" s="41">
        <f>$D$44/'Input data'!$F$20</f>
        <v>185.28514237464066</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G33" sqref="G33"/>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10" t="s">
        <v>128</v>
      </c>
      <c r="C3" s="211"/>
      <c r="D3" s="98">
        <f>SUM(D4:D6)</f>
        <v>67.855210203842987</v>
      </c>
      <c r="F3" t="s">
        <v>38</v>
      </c>
      <c r="G3" s="44" t="s">
        <v>108</v>
      </c>
      <c r="H3" s="50">
        <f>D10+D12</f>
        <v>59.269765870879816</v>
      </c>
    </row>
    <row r="4" spans="2:8" x14ac:dyDescent="0.25">
      <c r="B4" s="89"/>
      <c r="C4" s="90" t="s">
        <v>34</v>
      </c>
      <c r="D4" s="91">
        <f>'Detailed cost results'!$D$18/('Input data'!$F$20*'Input data'!$E$8)</f>
        <v>41.709590187021085</v>
      </c>
      <c r="F4" t="s">
        <v>38</v>
      </c>
      <c r="G4" t="str">
        <f>IF('Input data'!F103="Yes",'Summarised cost results'!G3,'Summarised cost results'!C10)</f>
        <v>Natural gas cost</v>
      </c>
      <c r="H4" s="51">
        <f>IF('Input data'!F103="Yes",H3,D10)</f>
        <v>59.269765870879816</v>
      </c>
    </row>
    <row r="5" spans="2:8" x14ac:dyDescent="0.25">
      <c r="B5" s="92"/>
      <c r="C5" s="90" t="s">
        <v>35</v>
      </c>
      <c r="D5" s="91">
        <f>'Detailed cost results'!$D$26/'Input data'!$F$20</f>
        <v>17.850034086313574</v>
      </c>
    </row>
    <row r="6" spans="2:8" x14ac:dyDescent="0.25">
      <c r="B6" s="92"/>
      <c r="C6" s="90" t="s">
        <v>36</v>
      </c>
      <c r="D6" s="91">
        <f>'Detailed cost results'!$D$31/'Input data'!$F$20</f>
        <v>8.2955859305083273</v>
      </c>
    </row>
    <row r="7" spans="2:8" x14ac:dyDescent="0.25">
      <c r="B7" s="213" t="s">
        <v>38</v>
      </c>
      <c r="C7" s="211"/>
      <c r="D7" s="98">
        <f>SUM(D8:D12)</f>
        <v>90.603975072321688</v>
      </c>
    </row>
    <row r="8" spans="2:8" x14ac:dyDescent="0.25">
      <c r="B8" s="89"/>
      <c r="C8" s="90" t="s">
        <v>34</v>
      </c>
      <c r="D8" s="93">
        <f>'Detailed cost results'!$H$18/('Input data'!$F$20*'Input data'!$E$8)</f>
        <v>20.570696530120316</v>
      </c>
    </row>
    <row r="9" spans="2:8" x14ac:dyDescent="0.25">
      <c r="B9" s="94"/>
      <c r="C9" s="90" t="s">
        <v>35</v>
      </c>
      <c r="D9" s="93">
        <f>'Detailed cost results'!$H$26/'Input data'!$F$20</f>
        <v>10.217080554644108</v>
      </c>
    </row>
    <row r="10" spans="2:8" x14ac:dyDescent="0.25">
      <c r="B10" s="94"/>
      <c r="C10" s="90" t="s">
        <v>65</v>
      </c>
      <c r="D10" s="91">
        <f>'Detailed cost results'!$H$27/'Input data'!$F$20</f>
        <v>59.269765870879816</v>
      </c>
    </row>
    <row r="11" spans="2:8" x14ac:dyDescent="0.25">
      <c r="B11" s="94"/>
      <c r="C11" s="90" t="s">
        <v>111</v>
      </c>
      <c r="D11" s="91">
        <f>('Detailed cost results'!$H$31-'Detailed cost results'!$H$27)/'Input data'!$F$20</f>
        <v>0.54643211667744906</v>
      </c>
    </row>
    <row r="12" spans="2:8" x14ac:dyDescent="0.25">
      <c r="B12" s="94"/>
      <c r="C12" s="90" t="s">
        <v>92</v>
      </c>
      <c r="D12" s="91">
        <f>'Detailed cost results'!$H$37/'Input data'!$F$20</f>
        <v>0</v>
      </c>
    </row>
    <row r="13" spans="2:8" x14ac:dyDescent="0.25">
      <c r="B13" s="213" t="s">
        <v>12</v>
      </c>
      <c r="C13" s="211"/>
      <c r="D13" s="99">
        <f>SUM(D14:D16)</f>
        <v>26.825957098475975</v>
      </c>
    </row>
    <row r="14" spans="2:8" x14ac:dyDescent="0.25">
      <c r="B14" s="89"/>
      <c r="C14" s="90" t="s">
        <v>34</v>
      </c>
      <c r="D14" s="95">
        <f>'Detailed cost results'!$K$18/('Input data'!$F$20*'Input data'!$E$8)</f>
        <v>22.370404097783481</v>
      </c>
    </row>
    <row r="15" spans="2:8" x14ac:dyDescent="0.25">
      <c r="B15" s="94"/>
      <c r="C15" s="90" t="s">
        <v>35</v>
      </c>
      <c r="D15" s="95">
        <f>'Detailed cost results'!$K$26/'Input data'!$F$20</f>
        <v>4.455553000692495</v>
      </c>
    </row>
    <row r="16" spans="2:8" x14ac:dyDescent="0.25">
      <c r="B16" s="94"/>
      <c r="C16" s="90" t="s">
        <v>36</v>
      </c>
      <c r="D16" s="95">
        <f>'Detailed cost results'!$K$31/'Input data'!$F$20</f>
        <v>0</v>
      </c>
    </row>
    <row r="17" spans="2:4" x14ac:dyDescent="0.25">
      <c r="B17" s="212" t="s">
        <v>37</v>
      </c>
      <c r="C17" s="212"/>
      <c r="D17" s="100">
        <f>D13+D7+D3</f>
        <v>185.28514237464066</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5" t="s">
        <v>121</v>
      </c>
      <c r="E3" s="216"/>
      <c r="F3" s="196" t="s">
        <v>122</v>
      </c>
      <c r="G3" s="214"/>
      <c r="H3" s="196" t="s">
        <v>126</v>
      </c>
      <c r="I3" s="214"/>
      <c r="J3" s="217" t="s">
        <v>160</v>
      </c>
      <c r="K3" s="215" t="s">
        <v>158</v>
      </c>
    </row>
    <row r="4" spans="2:11" x14ac:dyDescent="0.25">
      <c r="D4" s="5" t="s">
        <v>123</v>
      </c>
      <c r="E4" s="5" t="s">
        <v>124</v>
      </c>
      <c r="F4" s="5" t="s">
        <v>123</v>
      </c>
      <c r="G4" s="5" t="s">
        <v>124</v>
      </c>
      <c r="H4" s="5" t="s">
        <v>123</v>
      </c>
      <c r="I4" s="5" t="s">
        <v>124</v>
      </c>
      <c r="J4" s="218"/>
      <c r="K4" s="219"/>
    </row>
    <row r="5" spans="2:11" x14ac:dyDescent="0.25">
      <c r="C5" s="42" t="s">
        <v>34</v>
      </c>
      <c r="D5" s="53">
        <f>'Input data'!$D$112</f>
        <v>-0.15</v>
      </c>
      <c r="E5" s="53">
        <f>'Input data'!$E$112</f>
        <v>0.35</v>
      </c>
      <c r="F5" s="54">
        <f>$D$5*('Summarised cost results'!$D$4+'Summarised cost results'!$D$8+'Summarised cost results'!$D$14)+'Summarised cost results'!$D$17</f>
        <v>172.58753875240191</v>
      </c>
      <c r="G5" s="54">
        <f>$E$5*('Summarised cost results'!$D$4+'Summarised cost results'!$D$8+'Summarised cost results'!$D$14)+'Summarised cost results'!$D$17</f>
        <v>214.91288415986438</v>
      </c>
      <c r="H5" s="86">
        <f>(MIN(F5:G5)-'Summarised cost results'!$D$17)/'Summarised cost results'!$D$17</f>
        <v>-6.853006916531168E-2</v>
      </c>
      <c r="I5" s="86">
        <f>(MAX(F5:G5)-'Summarised cost results'!$D$17)/'Summarised cost results'!$D$17</f>
        <v>0.15990349471906046</v>
      </c>
      <c r="J5" s="43">
        <f>MIN(F5:G5)</f>
        <v>172.58753875240191</v>
      </c>
      <c r="K5" s="59">
        <f>MAX(F5:G5)-MIN(F5:G5)</f>
        <v>42.325345407462464</v>
      </c>
    </row>
    <row r="6" spans="2:11" x14ac:dyDescent="0.25">
      <c r="C6" s="9" t="s">
        <v>35</v>
      </c>
      <c r="D6" s="55">
        <f>'Input data'!$D$113</f>
        <v>-0.2</v>
      </c>
      <c r="E6" s="55">
        <f>'Input data'!$E$113</f>
        <v>0.2</v>
      </c>
      <c r="F6" s="56">
        <f>$D$6*('Summarised cost results'!$D$5+'Summarised cost results'!$D$9+'Summarised cost results'!$D$15)+'Summarised cost results'!$D$17</f>
        <v>178.78060884631063</v>
      </c>
      <c r="G6" s="56">
        <f>$E$6*('Summarised cost results'!$D$5+'Summarised cost results'!$D$9+'Summarised cost results'!$D$15)+'Summarised cost results'!$D$17</f>
        <v>191.78967590297069</v>
      </c>
      <c r="H6" s="87">
        <f>(MIN(F6:G6)-'Summarised cost results'!$D$17)/'Summarised cost results'!$D$17</f>
        <v>-3.5105532181193833E-2</v>
      </c>
      <c r="I6" s="87">
        <f>(MAX(F6:G6)-'Summarised cost results'!$D$17)/'Summarised cost results'!$D$17</f>
        <v>3.5105532181193833E-2</v>
      </c>
      <c r="J6" s="43">
        <f>MIN(F6:G6)</f>
        <v>178.78060884631063</v>
      </c>
      <c r="K6" s="59">
        <f>MAX(F6:G6)-MIN(F6:G6)</f>
        <v>13.009067056660058</v>
      </c>
    </row>
    <row r="7" spans="2:11" x14ac:dyDescent="0.25">
      <c r="C7" s="9" t="s">
        <v>65</v>
      </c>
      <c r="D7" s="55">
        <f>'Input data'!$D$114</f>
        <v>-0.3</v>
      </c>
      <c r="E7" s="55">
        <f>'Input data'!$E$114</f>
        <v>0.3</v>
      </c>
      <c r="F7" s="56">
        <f>$D$7*'Detailed cost results'!$L$27/'Input data'!$F$20+'Summarised cost results'!$D$17</f>
        <v>167.50421261337672</v>
      </c>
      <c r="G7" s="56">
        <f>$E$7*'Detailed cost results'!$L$27/'Input data'!$F$20+'Summarised cost results'!$D$17</f>
        <v>203.06607213590459</v>
      </c>
      <c r="H7" s="87">
        <f>(MIN(F7:G7)-'Summarised cost results'!$D$17)/'Summarised cost results'!$D$17</f>
        <v>-9.5965221676066512E-2</v>
      </c>
      <c r="I7" s="87">
        <f>(MAX(F7:G7)-'Summarised cost results'!$D$17)/'Summarised cost results'!$D$17</f>
        <v>9.5965221676066512E-2</v>
      </c>
      <c r="J7" s="43">
        <f t="shared" ref="J7:J16" si="0">MIN(F7:G7)</f>
        <v>167.50421261337672</v>
      </c>
      <c r="K7" s="59">
        <f>MAX(F7:G7)-MIN(F7:G7)</f>
        <v>35.561859522527868</v>
      </c>
    </row>
    <row r="8" spans="2:11" x14ac:dyDescent="0.25">
      <c r="C8" s="45" t="s">
        <v>112</v>
      </c>
      <c r="D8" s="57">
        <f>'Input data'!$D$113</f>
        <v>-0.2</v>
      </c>
      <c r="E8" s="57">
        <f>'Input data'!$E$113</f>
        <v>0.2</v>
      </c>
      <c r="F8" s="58">
        <f>$D$8*('Summarised cost results'!$D$6+'Summarised cost results'!$D$11+'Summarised cost results'!$D$16)+'Summarised cost results'!$D$17</f>
        <v>183.51673876520351</v>
      </c>
      <c r="G8" s="58">
        <f>$E$8*('Summarised cost results'!$D$6+'Summarised cost results'!$D$11+'Summarised cost results'!$D$16)+'Summarised cost results'!$D$17</f>
        <v>187.0535459840778</v>
      </c>
      <c r="H8" s="88">
        <f>(MIN(F8:G8)-'Summarised cost results'!$D$17)/'Summarised cost results'!$D$17</f>
        <v>-9.5442278143462143E-3</v>
      </c>
      <c r="I8" s="88">
        <f>(MAX(F8:G8)-'Summarised cost results'!$D$17)/'Summarised cost results'!$D$17</f>
        <v>9.5442278143462143E-3</v>
      </c>
      <c r="J8" s="43">
        <f t="shared" si="0"/>
        <v>183.51673876520351</v>
      </c>
      <c r="K8" s="59">
        <f t="shared" ref="K8:K16" si="1">MAX(F8:G8)-MIN(F8:G8)</f>
        <v>3.5368072188742872</v>
      </c>
    </row>
    <row r="9" spans="2:11" ht="18" x14ac:dyDescent="0.25">
      <c r="C9" s="10" t="s">
        <v>109</v>
      </c>
      <c r="D9" s="55">
        <f>'Input data'!$D$115</f>
        <v>-0.3</v>
      </c>
      <c r="E9" s="55">
        <f>'Input data'!$E$115</f>
        <v>0.3</v>
      </c>
      <c r="F9" s="59">
        <f>$D$9*'Summarised cost results'!$D3+'Summarised cost results'!$D$17</f>
        <v>164.92857931348777</v>
      </c>
      <c r="G9" s="59">
        <f>$E$9*'Summarised cost results'!$D3+'Summarised cost results'!$D$17</f>
        <v>205.64170543579354</v>
      </c>
      <c r="H9" s="85">
        <f>(MIN(F9:G9)-'Summarised cost results'!$D$17)/'Summarised cost results'!$D$17</f>
        <v>-0.10986613821410764</v>
      </c>
      <c r="I9" s="85">
        <f>(MAX(F9:G9)-'Summarised cost results'!$D$17)/'Summarised cost results'!$D$17</f>
        <v>0.10986613821410764</v>
      </c>
      <c r="J9" s="121">
        <f t="shared" si="0"/>
        <v>164.92857931348777</v>
      </c>
      <c r="K9" s="54">
        <f t="shared" si="1"/>
        <v>40.713126122305766</v>
      </c>
    </row>
    <row r="10" spans="2:11" x14ac:dyDescent="0.25">
      <c r="C10" s="10" t="s">
        <v>38</v>
      </c>
      <c r="D10" s="55">
        <f>'Input data'!$D$116</f>
        <v>-0.3</v>
      </c>
      <c r="E10" s="55">
        <f>'Input data'!$E$116</f>
        <v>0.3</v>
      </c>
      <c r="F10" s="59">
        <f>$D$10*'Summarised cost results'!$D7+'Summarised cost results'!$D$17</f>
        <v>158.10394985294414</v>
      </c>
      <c r="G10" s="59">
        <f>$E$10*'Summarised cost results'!$D7+'Summarised cost results'!$D$17</f>
        <v>212.46633489633717</v>
      </c>
      <c r="H10" s="85">
        <f>(MIN(F10:G10)-'Summarised cost results'!$D$17)/'Summarised cost results'!$D$17</f>
        <v>-0.14669925593244282</v>
      </c>
      <c r="I10" s="85">
        <f>(MAX(F10:G10)-'Summarised cost results'!$D$17)/'Summarised cost results'!$D$17</f>
        <v>0.14669925593244282</v>
      </c>
      <c r="J10" s="43">
        <f t="shared" si="0"/>
        <v>158.10394985294414</v>
      </c>
      <c r="K10" s="56">
        <f t="shared" si="1"/>
        <v>54.362385043393033</v>
      </c>
    </row>
    <row r="11" spans="2:11" x14ac:dyDescent="0.25">
      <c r="C11" s="9" t="s">
        <v>12</v>
      </c>
      <c r="D11" s="55">
        <f>'Input data'!$D$117</f>
        <v>-0.3</v>
      </c>
      <c r="E11" s="55">
        <f>'Input data'!$E$117</f>
        <v>0.3</v>
      </c>
      <c r="F11" s="56">
        <f>$D$11*'Summarised cost results'!$D$13+'Summarised cost results'!$D$17</f>
        <v>177.23735524509786</v>
      </c>
      <c r="G11" s="56">
        <f>$E$11*'Summarised cost results'!$D13+'Summarised cost results'!$D$17</f>
        <v>193.33292950418345</v>
      </c>
      <c r="H11" s="85">
        <f>(MIN(F11:G11)-'Summarised cost results'!$D$17)/'Summarised cost results'!$D$17</f>
        <v>-4.3434605853449534E-2</v>
      </c>
      <c r="I11" s="85">
        <f>(MAX(F11:G11)-'Summarised cost results'!$D$17)/'Summarised cost results'!$D$17</f>
        <v>4.3434605853449534E-2</v>
      </c>
      <c r="J11" s="122">
        <f>MIN(F11:G11)</f>
        <v>177.23735524509786</v>
      </c>
      <c r="K11" s="58">
        <f>MAX(F11:G11)-MIN(F11:G11)</f>
        <v>16.095574259085595</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176.58039242631426</v>
      </c>
      <c r="G12" s="54">
        <f>'Summarised cost results'!$D$17+'Sensitivity analyses'!$E$12*('Summarised cost results'!$D$8+'Summarised cost results'!$D$9)*'Detailed cost results'!$H$10/SUM('Detailed cost results'!$H$10:$J$10)</f>
        <v>185.28514237464066</v>
      </c>
      <c r="H12" s="86">
        <f>(MIN(F12:G12)-'Summarised cost results'!$D$17)/'Summarised cost results'!$D$17</f>
        <v>-4.6980291224461311E-2</v>
      </c>
      <c r="I12" s="86">
        <f>(MAX(F12:G12)-'Summarised cost results'!$D$17)/'Summarised cost results'!$D$17</f>
        <v>0</v>
      </c>
      <c r="J12" s="43">
        <f t="shared" si="0"/>
        <v>176.58039242631426</v>
      </c>
      <c r="K12" s="59">
        <f t="shared" si="1"/>
        <v>8.7047499483263948</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146.6387555098398</v>
      </c>
      <c r="G13" s="58">
        <f>($E$13*'Detailed cost results'!$L$27/'Input data'!$F$20*'Input data'!I81+'Summarised cost results'!$D$17)/(('Input data'!F20)/('Input data'!F20+('Input data'!F19-'Input data'!F20)*'Sensitivity analyses'!E13))</f>
        <v>185.28514237464066</v>
      </c>
      <c r="H13" s="88">
        <f>(MIN(F13:G13)-'Summarised cost results'!$D$17)/'Summarised cost results'!$D$17</f>
        <v>-0.20857790521950809</v>
      </c>
      <c r="I13" s="88">
        <f>(MAX(F13:G13)-'Summarised cost results'!$D$17)/'Summarised cost results'!$D$17</f>
        <v>0</v>
      </c>
      <c r="J13" s="43">
        <f t="shared" si="0"/>
        <v>146.6387555098398</v>
      </c>
      <c r="K13" s="59">
        <f t="shared" si="1"/>
        <v>38.64638686480086</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235.3015479680077</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176.41277269835552</v>
      </c>
      <c r="H14" s="86">
        <f>(MIN(F14:G14)-'Summarised cost results'!$D$17)/'Summarised cost results'!$D$17</f>
        <v>-4.7884949449133289E-2</v>
      </c>
      <c r="I14" s="86">
        <f>(MAX(F14:G14)-'Summarised cost results'!$D$17)/'Summarised cost results'!$D$17</f>
        <v>0.26994288345168799</v>
      </c>
      <c r="J14" s="121">
        <f t="shared" si="0"/>
        <v>176.41277269835552</v>
      </c>
      <c r="K14" s="54">
        <f t="shared" si="1"/>
        <v>58.888775269652172</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160.70212971335269</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211.73215962925366</v>
      </c>
      <c r="H15" s="87">
        <f>(MIN(F15:G15)-'Summarised cost results'!$D$17)/'Summarised cost results'!$D$17</f>
        <v>-0.132676653649767</v>
      </c>
      <c r="I15" s="87">
        <f>(MAX(F15:G15)-'Summarised cost results'!$D$17)/'Summarised cost results'!$D$17</f>
        <v>0.14273684827430996</v>
      </c>
      <c r="J15" s="43">
        <f t="shared" si="0"/>
        <v>160.70212971335269</v>
      </c>
      <c r="K15" s="56">
        <f t="shared" si="1"/>
        <v>51.030029915900968</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216.59430199111972</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181.8063468616985</v>
      </c>
      <c r="H16" s="88">
        <f>(MIN(F16:G16)-'Summarised cost results'!$D$17)/'Summarised cost results'!$D$17</f>
        <v>-1.8775361415154068E-2</v>
      </c>
      <c r="I16" s="88">
        <f>(MAX(F16:G16)-'Summarised cost results'!$D$17)/'Summarised cost results'!$D$17</f>
        <v>0.16897825273638478</v>
      </c>
      <c r="J16" s="122">
        <f t="shared" si="0"/>
        <v>181.8063468616985</v>
      </c>
      <c r="K16" s="58">
        <f t="shared" si="1"/>
        <v>34.787955129421221</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