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H24" i="1" s="1"/>
  <c r="K11" i="1"/>
  <c r="K12" i="1" s="1"/>
  <c r="K25" i="1" s="1"/>
  <c r="L31" i="1"/>
  <c r="F17" i="1"/>
  <c r="G17" i="1"/>
  <c r="I17" i="1"/>
  <c r="J17" i="1"/>
  <c r="E17" i="1"/>
  <c r="B9" i="3"/>
  <c r="L7" i="1"/>
  <c r="D10" i="1"/>
  <c r="O22" i="3" l="1"/>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<sst xmlns="http://schemas.openxmlformats.org/spreadsheetml/2006/main" count="341" uniqueCount="167">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</sst>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3" fillId="2" borderId="0" xfId="1" applyNumberFormat="1" applyBorder="1" applyAlignment="1">
      <alignment horizontal="center"/>
    </xf>
    <xf numFmtId="0" fontId="3" fillId="2" borderId="0" xfId="1" applyAlignment="1"/>
    <xf numFmtId="0" fontId="3" fillId="2" borderId="0" xfId="1" applyBorder="1" applyAlignment="1">
      <alignment horizontal="center" vertical="center" wrapText="1"/>
    </xf>
    <xf numFmtId="0" fontId="0" fillId="0" borderId="0" xfId="0" applyAlignment="1">
      <alignment horizontal="center" vertical="center" wrapText="1"/>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alignment horizontal="center"/>
      <protection locked="0"/>
    </xf>
    <xf numFmtId="0" fontId="0" fillId="0" borderId="0" xfId="0"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0" fillId="0" borderId="0" xfId="0" applyAlignment="1" applyProtection="1">
      <protection locked="0"/>
    </xf>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0" fontId="3" fillId="2" borderId="0" xfId="1" applyBorder="1" applyAlignment="1">
      <alignment horizontal="center"/>
    </xf>
    <xf numFmtId="0" fontId="0" fillId="0" borderId="0" xfId="0" applyAlignment="1">
      <alignment horizontal="center"/>
    </xf>
    <xf numFmtId="0" fontId="3" fillId="2" borderId="0" xfId="1" applyBorder="1" applyAlignment="1"/>
    <xf numFmtId="0" fontId="3" fillId="2" borderId="0" xfId="1" applyFont="1" applyBorder="1" applyAlignment="1"/>
    <xf numFmtId="0" fontId="0" fillId="0" borderId="0" xfId="0" applyBorder="1" applyAlignment="1"/>
    <xf numFmtId="0" fontId="3" fillId="2" borderId="0" xfId="1" applyBorder="1" applyAlignment="1">
      <alignment wrapText="1"/>
    </xf>
    <xf numFmtId="0" fontId="3" fillId="2" borderId="0" xfId="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0" fillId="0" borderId="13" xfId="0" applyBorder="1" applyAlignment="1"/>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0" fontId="1" fillId="0" borderId="13" xfId="0" applyFont="1" applyBorder="1" applyAlignment="1"/>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25.151645431187781</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5.0094977624649184</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18.501398144194095</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8.8191920110018653</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0.54989849328798213</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63.459182512632715</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45.770640195870605</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18.447702297581323</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8.3747028844681513</c:v>
                </c:pt>
              </c:numCache>
            </c:numRef>
          </c:val>
        </c:ser>
        <c:dLbls>
          <c:showLegendKey val="0"/>
          <c:showVal val="0"/>
          <c:showCatName val="0"/>
          <c:showSerName val="0"/>
          <c:showPercent val="0"/>
          <c:showBubbleSize val="0"/>
        </c:dLbls>
        <c:gapWidth val="150"/>
        <c:overlap val="100"/>
        <c:axId val="619039968"/>
        <c:axId val="619040752"/>
      </c:barChart>
      <c:catAx>
        <c:axId val="619039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40752"/>
        <c:crosses val="autoZero"/>
        <c:auto val="1"/>
        <c:lblAlgn val="ctr"/>
        <c:lblOffset val="100"/>
        <c:noMultiLvlLbl val="0"/>
      </c:catAx>
      <c:valAx>
        <c:axId val="61904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39968"/>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30.161143193652698</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91.32967116111665</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72.593045377920077</c:v>
                </c:pt>
              </c:numCache>
            </c:numRef>
          </c:val>
        </c:ser>
        <c:dLbls>
          <c:showLegendKey val="0"/>
          <c:showVal val="0"/>
          <c:showCatName val="0"/>
          <c:showSerName val="0"/>
          <c:showPercent val="0"/>
          <c:showBubbleSize val="0"/>
        </c:dLbls>
        <c:gapWidth val="150"/>
        <c:overlap val="100"/>
        <c:axId val="619041536"/>
        <c:axId val="619034088"/>
      </c:barChart>
      <c:catAx>
        <c:axId val="619041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34088"/>
        <c:crosses val="autoZero"/>
        <c:auto val="1"/>
        <c:lblAlgn val="ctr"/>
        <c:lblOffset val="100"/>
        <c:noMultiLvlLbl val="0"/>
      </c:catAx>
      <c:valAx>
        <c:axId val="6190340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41536"/>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180.67030716700157</c:v>
                </c:pt>
                <c:pt idx="1">
                  <c:v>187.6285813184798</c:v>
                </c:pt>
                <c:pt idx="2">
                  <c:v>175.04610497889962</c:v>
                </c:pt>
                <c:pt idx="3">
                  <c:v>192.2989394571382</c:v>
                </c:pt>
                <c:pt idx="4">
                  <c:v>172.3059461193134</c:v>
                </c:pt>
                <c:pt idx="5">
                  <c:v>166.68495838435445</c:v>
                </c:pt>
                <c:pt idx="6">
                  <c:v>185.03551677459362</c:v>
                </c:pt>
                <c:pt idx="7">
                  <c:v>186.4029776439553</c:v>
                </c:pt>
                <c:pt idx="8">
                  <c:v>153.66971965965482</c:v>
                </c:pt>
                <c:pt idx="9">
                  <c:v>184.71122529112995</c:v>
                </c:pt>
                <c:pt idx="10">
                  <c:v>168.1147444283153</c:v>
                </c:pt>
                <c:pt idx="11">
                  <c:v>190.4089138242818</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44.711841885626228</c:v>
                </c:pt>
                <c:pt idx="1">
                  <c:v>12.91055682841926</c:v>
                </c:pt>
                <c:pt idx="2">
                  <c:v>38.075509507579625</c:v>
                </c:pt>
                <c:pt idx="3">
                  <c:v>3.5698405511024589</c:v>
                </c:pt>
                <c:pt idx="4">
                  <c:v>43.555827226752058</c:v>
                </c:pt>
                <c:pt idx="5">
                  <c:v>54.797802696669976</c:v>
                </c:pt>
                <c:pt idx="6">
                  <c:v>18.096685916191632</c:v>
                </c:pt>
                <c:pt idx="7">
                  <c:v>7.6808820887341369</c:v>
                </c:pt>
                <c:pt idx="8">
                  <c:v>40.414140073034616</c:v>
                </c:pt>
                <c:pt idx="9">
                  <c:v>62.209193648556322</c:v>
                </c:pt>
                <c:pt idx="10">
                  <c:v>53.907336302948636</c:v>
                </c:pt>
                <c:pt idx="11">
                  <c:v>36.749459084076392</c:v>
                </c:pt>
              </c:numCache>
            </c:numRef>
          </c:val>
        </c:ser>
        <c:dLbls>
          <c:showLegendKey val="0"/>
          <c:showVal val="0"/>
          <c:showCatName val="0"/>
          <c:showSerName val="0"/>
          <c:showPercent val="0"/>
          <c:showBubbleSize val="0"/>
        </c:dLbls>
        <c:gapWidth val="55"/>
        <c:overlap val="100"/>
        <c:axId val="619034480"/>
        <c:axId val="619034872"/>
      </c:barChart>
      <c:catAx>
        <c:axId val="619034480"/>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619034872"/>
        <c:crosses val="autoZero"/>
        <c:auto val="1"/>
        <c:lblAlgn val="ctr"/>
        <c:lblOffset val="100"/>
        <c:noMultiLvlLbl val="0"/>
      </c:catAx>
      <c:valAx>
        <c:axId val="619034872"/>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9034480"/>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171450</xdr:colOff>
      <xdr:row>1</xdr:row>
      <xdr:rowOff>114300</xdr:rowOff>
    </xdr:from>
    <xdr:to>
      <xdr:col>29</xdr:col>
      <xdr:colOff>385406</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116300" y="304800"/>
          <a:ext cx="1395056" cy="1021538"/>
        </a:xfrm>
        <a:prstGeom prst="rect">
          <a:avLst/>
        </a:prstGeom>
      </xdr:spPr>
    </xdr:pic>
    <xdr:clientData/>
  </xdr:twoCellAnchor>
  <xdr:twoCellAnchor editAs="oneCell">
    <xdr:from>
      <xdr:col>26</xdr:col>
      <xdr:colOff>285750</xdr:colOff>
      <xdr:row>1</xdr:row>
      <xdr:rowOff>114300</xdr:rowOff>
    </xdr:from>
    <xdr:to>
      <xdr:col>29</xdr:col>
      <xdr:colOff>378267</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40050"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hxtPvd+S5IQ0hepxhMwupnMdTpFy1/4VF064YNYisOEBHIZi7gk9OYKeNAlM16f0UXPzmrXFltajXKdlCfmGdQ==" saltValue="ugK03ZcXoREAPg42bpeUT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F16" sqref="F16"/>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64" t="s">
        <v>155</v>
      </c>
      <c r="C5" s="164"/>
      <c r="D5" s="164"/>
      <c r="E5" s="123">
        <v>8</v>
      </c>
      <c r="F5" s="102" t="s">
        <v>28</v>
      </c>
    </row>
    <row r="6" spans="1:8" x14ac:dyDescent="0.25">
      <c r="B6" s="164" t="s">
        <v>27</v>
      </c>
      <c r="C6" s="164"/>
      <c r="D6" s="164"/>
      <c r="E6" s="123">
        <v>4</v>
      </c>
      <c r="F6" s="102" t="s">
        <v>29</v>
      </c>
    </row>
    <row r="7" spans="1:8" x14ac:dyDescent="0.25">
      <c r="B7" s="164" t="s">
        <v>25</v>
      </c>
      <c r="C7" s="164"/>
      <c r="D7" s="164"/>
      <c r="E7" s="123">
        <v>25</v>
      </c>
      <c r="F7" s="102" t="s">
        <v>115</v>
      </c>
    </row>
    <row r="8" spans="1:8" ht="12.75" customHeight="1" x14ac:dyDescent="0.25">
      <c r="B8" s="164" t="s">
        <v>30</v>
      </c>
      <c r="C8" s="164"/>
      <c r="D8" s="164"/>
      <c r="E8" s="72">
        <f>'Discount factors'!D59</f>
        <v>11.528758283675661</v>
      </c>
      <c r="F8" s="102" t="s">
        <v>29</v>
      </c>
      <c r="G8" t="s">
        <v>165</v>
      </c>
    </row>
    <row r="9" spans="1:8" x14ac:dyDescent="0.25">
      <c r="B9" s="164" t="s">
        <v>161</v>
      </c>
      <c r="C9" s="164"/>
      <c r="D9" s="164"/>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7"/>
      <c r="D16" s="147"/>
      <c r="E16" s="147"/>
      <c r="F16" s="125">
        <v>91.076125788952453</v>
      </c>
      <c r="G16" s="5" t="s">
        <v>97</v>
      </c>
      <c r="H16" t="s">
        <v>162</v>
      </c>
    </row>
    <row r="17" spans="1:12" ht="18" x14ac:dyDescent="0.35">
      <c r="B17" s="141" t="s">
        <v>98</v>
      </c>
      <c r="C17" s="147"/>
      <c r="D17" s="147"/>
      <c r="E17" s="147"/>
      <c r="F17" s="125">
        <v>30.501309879144983</v>
      </c>
      <c r="G17" s="5" t="s">
        <v>97</v>
      </c>
    </row>
    <row r="18" spans="1:12" x14ac:dyDescent="0.25">
      <c r="B18" s="46"/>
      <c r="C18" s="46"/>
      <c r="G18" s="60"/>
    </row>
    <row r="19" spans="1:12" ht="18" x14ac:dyDescent="0.35">
      <c r="B19" s="141" t="s">
        <v>93</v>
      </c>
      <c r="C19" s="165"/>
      <c r="D19" s="147"/>
      <c r="E19" s="147"/>
      <c r="F19" s="43">
        <f>F16*'Input data'!E12/1000</f>
        <v>765.03945662720048</v>
      </c>
      <c r="G19" s="5" t="s">
        <v>95</v>
      </c>
    </row>
    <row r="20" spans="1:12" ht="18" x14ac:dyDescent="0.35">
      <c r="B20" s="163" t="s">
        <v>94</v>
      </c>
      <c r="C20" s="165"/>
      <c r="D20" s="147"/>
      <c r="E20" s="147"/>
      <c r="F20" s="43">
        <f>(F16-F17)*'Input data'!E12/1000</f>
        <v>508.82845364238261</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4" t="s">
        <v>135</v>
      </c>
      <c r="E25" s="155"/>
      <c r="F25" s="155"/>
      <c r="G25" s="156"/>
      <c r="H25" s="154" t="s">
        <v>38</v>
      </c>
      <c r="I25" s="155"/>
      <c r="J25" s="156"/>
      <c r="K25" s="157" t="s">
        <v>12</v>
      </c>
      <c r="L25" s="158"/>
    </row>
    <row r="26" spans="1:12" ht="42" customHeight="1" x14ac:dyDescent="0.25">
      <c r="A26" s="2"/>
      <c r="B26" s="6"/>
      <c r="D26" s="106" t="s">
        <v>13</v>
      </c>
      <c r="E26" s="107" t="s">
        <v>7</v>
      </c>
      <c r="F26" s="107" t="s">
        <v>8</v>
      </c>
      <c r="G26" s="108" t="s">
        <v>134</v>
      </c>
      <c r="H26" s="106" t="s">
        <v>9</v>
      </c>
      <c r="I26" s="107" t="s">
        <v>10</v>
      </c>
      <c r="J26" s="108" t="s">
        <v>11</v>
      </c>
      <c r="K26" s="159"/>
      <c r="L26" s="160"/>
    </row>
    <row r="27" spans="1:12" x14ac:dyDescent="0.25">
      <c r="A27" s="2"/>
      <c r="B27" s="9" t="s">
        <v>0</v>
      </c>
      <c r="C27" s="80"/>
      <c r="D27" s="137">
        <v>32100</v>
      </c>
      <c r="E27" s="126">
        <v>33900</v>
      </c>
      <c r="F27" s="126">
        <v>16800</v>
      </c>
      <c r="G27" s="127">
        <v>8010</v>
      </c>
      <c r="H27" s="137">
        <v>32280</v>
      </c>
      <c r="I27" s="126">
        <v>3700</v>
      </c>
      <c r="J27" s="127">
        <v>1450</v>
      </c>
      <c r="K27" s="148">
        <v>36200</v>
      </c>
      <c r="L27" s="149"/>
    </row>
    <row r="28" spans="1:12" x14ac:dyDescent="0.25">
      <c r="A28" s="2"/>
      <c r="B28" s="9" t="s">
        <v>1</v>
      </c>
      <c r="C28" s="80"/>
      <c r="D28" s="137">
        <v>21100</v>
      </c>
      <c r="E28" s="126">
        <v>19900</v>
      </c>
      <c r="F28" s="126">
        <v>9900</v>
      </c>
      <c r="G28" s="127">
        <v>5800</v>
      </c>
      <c r="H28" s="137">
        <v>18300</v>
      </c>
      <c r="I28" s="126">
        <v>2700</v>
      </c>
      <c r="J28" s="127">
        <v>900</v>
      </c>
      <c r="K28" s="148">
        <v>48200</v>
      </c>
      <c r="L28" s="149"/>
    </row>
    <row r="29" spans="1:12" x14ac:dyDescent="0.25">
      <c r="A29" s="2"/>
      <c r="B29" s="9" t="s">
        <v>3</v>
      </c>
      <c r="C29" s="80"/>
      <c r="D29" s="137">
        <v>3300</v>
      </c>
      <c r="E29" s="126">
        <v>3000</v>
      </c>
      <c r="F29" s="126">
        <v>1500</v>
      </c>
      <c r="G29" s="127">
        <v>900</v>
      </c>
      <c r="H29" s="137">
        <v>2800</v>
      </c>
      <c r="I29" s="126">
        <v>400</v>
      </c>
      <c r="J29" s="127">
        <v>100</v>
      </c>
      <c r="K29" s="148">
        <v>1000</v>
      </c>
      <c r="L29" s="149"/>
    </row>
    <row r="30" spans="1:12" x14ac:dyDescent="0.25">
      <c r="A30" s="2"/>
      <c r="B30" s="9" t="s">
        <v>4</v>
      </c>
      <c r="C30" s="80"/>
      <c r="D30" s="138">
        <v>10600</v>
      </c>
      <c r="E30" s="128">
        <v>10800</v>
      </c>
      <c r="F30" s="128">
        <v>5300</v>
      </c>
      <c r="G30" s="129">
        <v>2800</v>
      </c>
      <c r="H30" s="138">
        <v>10200</v>
      </c>
      <c r="I30" s="128">
        <v>1300</v>
      </c>
      <c r="J30" s="129">
        <v>500</v>
      </c>
      <c r="K30" s="150">
        <v>16900</v>
      </c>
      <c r="L30" s="151"/>
    </row>
    <row r="31" spans="1:12" x14ac:dyDescent="0.25">
      <c r="A31" s="2"/>
      <c r="D31" t="s">
        <v>166</v>
      </c>
    </row>
    <row r="32" spans="1:12" x14ac:dyDescent="0.25">
      <c r="A32" s="2"/>
    </row>
    <row r="33" spans="2:11" x14ac:dyDescent="0.25">
      <c r="B33" s="2" t="s">
        <v>32</v>
      </c>
    </row>
    <row r="34" spans="2:11" x14ac:dyDescent="0.25">
      <c r="B34" s="167" t="s">
        <v>32</v>
      </c>
      <c r="C34" s="167"/>
      <c r="D34" s="167"/>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42" t="s">
        <v>109</v>
      </c>
      <c r="F53" s="143"/>
      <c r="G53" s="84" t="s">
        <v>38</v>
      </c>
      <c r="H53" s="144" t="s">
        <v>12</v>
      </c>
      <c r="I53" s="145"/>
    </row>
    <row r="54" spans="1:9" x14ac:dyDescent="0.25">
      <c r="B54" s="163" t="s">
        <v>101</v>
      </c>
      <c r="C54" s="147"/>
      <c r="D54" s="147"/>
      <c r="E54" s="152">
        <v>15</v>
      </c>
      <c r="F54" s="152"/>
      <c r="G54" s="139">
        <v>10</v>
      </c>
      <c r="H54" s="152">
        <v>0</v>
      </c>
      <c r="I54" s="15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66" t="s">
        <v>63</v>
      </c>
      <c r="C66" s="147"/>
      <c r="D66" s="147"/>
      <c r="E66" s="147"/>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42" t="s">
        <v>109</v>
      </c>
      <c r="F74" s="143"/>
      <c r="G74" s="84" t="s">
        <v>38</v>
      </c>
      <c r="H74" s="144" t="s">
        <v>12</v>
      </c>
      <c r="I74" s="145"/>
    </row>
    <row r="75" spans="1:10" ht="15.75" x14ac:dyDescent="0.25">
      <c r="A75" s="101"/>
      <c r="B75" s="9" t="s">
        <v>42</v>
      </c>
      <c r="C75" s="80"/>
      <c r="D75" s="80"/>
      <c r="E75" s="140" t="s">
        <v>29</v>
      </c>
      <c r="F75" s="147"/>
      <c r="G75" s="136">
        <v>578.32999999999993</v>
      </c>
      <c r="H75" s="140" t="s">
        <v>29</v>
      </c>
      <c r="I75" s="147"/>
      <c r="J75" s="5" t="s">
        <v>136</v>
      </c>
    </row>
    <row r="76" spans="1:10" ht="15.75" x14ac:dyDescent="0.25">
      <c r="A76" s="101"/>
      <c r="B76" s="9" t="s">
        <v>137</v>
      </c>
      <c r="C76" s="80"/>
      <c r="D76" s="80"/>
      <c r="E76" s="146">
        <v>0.44</v>
      </c>
      <c r="F76" s="146"/>
      <c r="G76" s="61" t="s">
        <v>29</v>
      </c>
      <c r="H76" s="140" t="s">
        <v>29</v>
      </c>
      <c r="I76" s="147"/>
      <c r="J76" s="5" t="s">
        <v>138</v>
      </c>
    </row>
    <row r="77" spans="1:10" ht="15.75" x14ac:dyDescent="0.25">
      <c r="A77" s="101"/>
      <c r="B77" s="9" t="s">
        <v>139</v>
      </c>
      <c r="C77" s="80"/>
      <c r="D77" s="80"/>
      <c r="E77" s="146">
        <v>189.6</v>
      </c>
      <c r="F77" s="146"/>
      <c r="G77" s="61" t="s">
        <v>29</v>
      </c>
      <c r="H77" s="140" t="s">
        <v>29</v>
      </c>
      <c r="I77" s="147"/>
      <c r="J77" s="5" t="s">
        <v>140</v>
      </c>
    </row>
    <row r="78" spans="1:10" ht="15.75" x14ac:dyDescent="0.25">
      <c r="A78" s="101"/>
      <c r="B78" s="9" t="s">
        <v>141</v>
      </c>
      <c r="C78" s="80"/>
      <c r="D78" s="80"/>
      <c r="E78" s="140" t="s">
        <v>29</v>
      </c>
      <c r="F78" s="147"/>
      <c r="G78" s="136">
        <v>333.1</v>
      </c>
      <c r="H78" s="140" t="s">
        <v>29</v>
      </c>
      <c r="I78" s="147"/>
      <c r="J78" s="5" t="s">
        <v>138</v>
      </c>
    </row>
    <row r="79" spans="1:10" ht="15.75" x14ac:dyDescent="0.25">
      <c r="A79" s="101"/>
      <c r="B79" s="9" t="s">
        <v>142</v>
      </c>
      <c r="C79" s="80"/>
      <c r="D79" s="80"/>
      <c r="E79" s="146">
        <v>0.48</v>
      </c>
      <c r="F79" s="153"/>
      <c r="G79" s="61" t="s">
        <v>29</v>
      </c>
      <c r="H79" s="140" t="s">
        <v>29</v>
      </c>
      <c r="I79" s="147"/>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42" t="s">
        <v>109</v>
      </c>
      <c r="F84" s="143"/>
      <c r="G84" s="84" t="s">
        <v>38</v>
      </c>
      <c r="H84" s="144" t="s">
        <v>12</v>
      </c>
      <c r="I84" s="145"/>
      <c r="J84" s="82"/>
    </row>
    <row r="85" spans="1:10" ht="14.25" hidden="1" customHeight="1" x14ac:dyDescent="0.25">
      <c r="A85" s="101"/>
      <c r="B85" s="9" t="s">
        <v>42</v>
      </c>
      <c r="C85" s="80"/>
      <c r="D85" s="80"/>
      <c r="E85" s="140" t="s">
        <v>29</v>
      </c>
      <c r="F85" s="141"/>
      <c r="G85" s="61">
        <f>'Input data'!G75*'Input data'!$E$12</f>
        <v>4857971.9999999981</v>
      </c>
      <c r="H85" s="140" t="s">
        <v>29</v>
      </c>
      <c r="I85" s="141"/>
      <c r="J85" s="5" t="s">
        <v>143</v>
      </c>
    </row>
    <row r="86" spans="1:10" ht="15" hidden="1" customHeight="1" x14ac:dyDescent="0.25">
      <c r="A86" s="101"/>
      <c r="B86" s="9" t="s">
        <v>137</v>
      </c>
      <c r="C86" s="80"/>
      <c r="D86" s="80"/>
      <c r="E86" s="140">
        <f>'Input data'!E76*'Input data'!$E$12</f>
        <v>3695.9999999999991</v>
      </c>
      <c r="F86" s="141"/>
      <c r="G86" s="61" t="s">
        <v>29</v>
      </c>
      <c r="H86" s="140" t="s">
        <v>29</v>
      </c>
      <c r="I86" s="141"/>
      <c r="J86" s="5" t="s">
        <v>144</v>
      </c>
    </row>
    <row r="87" spans="1:10" ht="20.25" hidden="1" customHeight="1" x14ac:dyDescent="0.25">
      <c r="A87" s="101"/>
      <c r="B87" s="9" t="s">
        <v>139</v>
      </c>
      <c r="C87" s="80"/>
      <c r="D87" s="80"/>
      <c r="E87" s="140">
        <f>'Input data'!E77*'Input data'!$E$12/1000</f>
        <v>1592.6399999999996</v>
      </c>
      <c r="F87" s="141"/>
      <c r="G87" s="61" t="s">
        <v>29</v>
      </c>
      <c r="H87" s="140" t="s">
        <v>29</v>
      </c>
      <c r="I87" s="141"/>
      <c r="J87" s="5" t="s">
        <v>144</v>
      </c>
    </row>
    <row r="88" spans="1:10" ht="15.75" x14ac:dyDescent="0.25">
      <c r="A88" s="101"/>
      <c r="B88" s="9" t="s">
        <v>145</v>
      </c>
      <c r="C88" s="80"/>
      <c r="D88" s="80"/>
      <c r="E88" s="146">
        <v>0.85876644699048654</v>
      </c>
      <c r="F88" s="146"/>
      <c r="G88" s="61" t="s">
        <v>29</v>
      </c>
      <c r="H88" s="140" t="s">
        <v>29</v>
      </c>
      <c r="I88" s="141"/>
      <c r="J88" s="5" t="s">
        <v>144</v>
      </c>
    </row>
    <row r="89" spans="1:10" ht="14.25" hidden="1" x14ac:dyDescent="0.25">
      <c r="A89" s="101"/>
      <c r="B89" s="9" t="s">
        <v>141</v>
      </c>
      <c r="C89" s="80"/>
      <c r="D89" s="80"/>
      <c r="E89" s="140" t="s">
        <v>29</v>
      </c>
      <c r="F89" s="141"/>
      <c r="G89" s="61">
        <f>'Input data'!G78*'Input data'!$E$12</f>
        <v>2798039.9999999995</v>
      </c>
      <c r="H89" s="140" t="s">
        <v>29</v>
      </c>
      <c r="I89" s="141"/>
      <c r="J89" s="80" t="s">
        <v>144</v>
      </c>
    </row>
    <row r="90" spans="1:10" ht="14.25" hidden="1" x14ac:dyDescent="0.25">
      <c r="A90" s="101"/>
      <c r="B90" s="9" t="s">
        <v>142</v>
      </c>
      <c r="C90" s="80"/>
      <c r="D90" s="80"/>
      <c r="E90" s="140">
        <f>'Input data'!E79*'Input data'!$E$12</f>
        <v>4031.9999999999991</v>
      </c>
      <c r="F90" s="141"/>
      <c r="G90" s="61" t="s">
        <v>29</v>
      </c>
      <c r="H90" s="140" t="s">
        <v>29</v>
      </c>
      <c r="I90" s="141"/>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v>
      </c>
      <c r="G105" s="5" t="s">
        <v>149</v>
      </c>
    </row>
    <row r="106" spans="1:15" hidden="1" x14ac:dyDescent="0.25">
      <c r="B106" s="9" t="s">
        <v>153</v>
      </c>
      <c r="C106" s="80"/>
      <c r="D106" s="80"/>
      <c r="E106" s="80"/>
      <c r="F106" s="135">
        <f>'Input data'!F105*'Input data'!$E$12</f>
        <v>0</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61" t="s">
        <v>85</v>
      </c>
      <c r="E111" s="162"/>
    </row>
    <row r="112" spans="1:15" x14ac:dyDescent="0.25">
      <c r="B112" s="141" t="s">
        <v>34</v>
      </c>
      <c r="C112" s="147"/>
      <c r="D112" s="133">
        <v>-0.15</v>
      </c>
      <c r="E112" s="133">
        <v>0.35</v>
      </c>
      <c r="F112" s="5" t="s">
        <v>28</v>
      </c>
    </row>
    <row r="113" spans="2:6" x14ac:dyDescent="0.25">
      <c r="B113" s="141" t="s">
        <v>84</v>
      </c>
      <c r="C113" s="147"/>
      <c r="D113" s="133">
        <v>-0.2</v>
      </c>
      <c r="E113" s="133">
        <v>0.2</v>
      </c>
      <c r="F113" s="5" t="s">
        <v>28</v>
      </c>
    </row>
    <row r="114" spans="2:6" x14ac:dyDescent="0.25">
      <c r="B114" s="141" t="s">
        <v>52</v>
      </c>
      <c r="C114" s="147"/>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61" t="s">
        <v>154</v>
      </c>
      <c r="E121" s="162"/>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B113:C113"/>
    <mergeCell ref="B114:C114"/>
    <mergeCell ref="B66:E66"/>
    <mergeCell ref="B34:D34"/>
    <mergeCell ref="D111:E111"/>
    <mergeCell ref="B5:D5"/>
    <mergeCell ref="B6:D6"/>
    <mergeCell ref="B7:D7"/>
    <mergeCell ref="B8:D8"/>
    <mergeCell ref="B48:C48"/>
    <mergeCell ref="B9:D9"/>
    <mergeCell ref="B16:E16"/>
    <mergeCell ref="B17:E17"/>
    <mergeCell ref="B19:E19"/>
    <mergeCell ref="B20:E20"/>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H78:I78"/>
    <mergeCell ref="H79:I79"/>
    <mergeCell ref="K29:L29"/>
    <mergeCell ref="K30:L30"/>
    <mergeCell ref="E53:F53"/>
    <mergeCell ref="E54:F54"/>
    <mergeCell ref="H53:I53"/>
    <mergeCell ref="H54:I54"/>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188" t="s">
        <v>87</v>
      </c>
      <c r="E3" s="189"/>
      <c r="F3" s="189"/>
      <c r="G3" s="190"/>
      <c r="H3" s="188" t="s">
        <v>38</v>
      </c>
      <c r="I3" s="189"/>
      <c r="J3" s="190"/>
      <c r="K3" s="186" t="s">
        <v>12</v>
      </c>
      <c r="L3" s="186" t="s">
        <v>14</v>
      </c>
    </row>
    <row r="4" spans="2:12" ht="33" x14ac:dyDescent="0.25">
      <c r="C4" s="6"/>
      <c r="D4" s="32" t="s">
        <v>13</v>
      </c>
      <c r="E4" s="33" t="s">
        <v>7</v>
      </c>
      <c r="F4" s="33" t="s">
        <v>8</v>
      </c>
      <c r="G4" s="34" t="s">
        <v>88</v>
      </c>
      <c r="H4" s="32" t="s">
        <v>9</v>
      </c>
      <c r="I4" s="33" t="s">
        <v>10</v>
      </c>
      <c r="J4" s="34" t="s">
        <v>11</v>
      </c>
      <c r="K4" s="191"/>
      <c r="L4" s="187"/>
    </row>
    <row r="5" spans="2:12" x14ac:dyDescent="0.25">
      <c r="C5" s="20" t="s">
        <v>0</v>
      </c>
      <c r="D5" s="110">
        <f>'Input data'!D27</f>
        <v>32100</v>
      </c>
      <c r="E5" s="111">
        <f>'Input data'!E27</f>
        <v>33900</v>
      </c>
      <c r="F5" s="111">
        <f>'Input data'!F27</f>
        <v>16800</v>
      </c>
      <c r="G5" s="112">
        <f>'Input data'!G27</f>
        <v>8010</v>
      </c>
      <c r="H5" s="110">
        <f>'Input data'!H27</f>
        <v>32280</v>
      </c>
      <c r="I5" s="111">
        <f>'Input data'!I27</f>
        <v>3700</v>
      </c>
      <c r="J5" s="112">
        <f>'Input data'!J27</f>
        <v>1450</v>
      </c>
      <c r="K5" s="29">
        <f>'Input data'!K27</f>
        <v>36200</v>
      </c>
      <c r="L5" s="29">
        <f>SUM(D5:K5)</f>
        <v>164440</v>
      </c>
    </row>
    <row r="6" spans="2:12" x14ac:dyDescent="0.25">
      <c r="C6" s="21" t="s">
        <v>1</v>
      </c>
      <c r="D6" s="83">
        <f>'Input data'!D28</f>
        <v>21100</v>
      </c>
      <c r="E6" s="11">
        <f>'Input data'!E28</f>
        <v>19900</v>
      </c>
      <c r="F6" s="11">
        <f>'Input data'!F28</f>
        <v>9900</v>
      </c>
      <c r="G6" s="22">
        <f>'Input data'!G28</f>
        <v>5800</v>
      </c>
      <c r="H6" s="83">
        <f>'Input data'!H28</f>
        <v>18300</v>
      </c>
      <c r="I6" s="11">
        <f>'Input data'!I28</f>
        <v>2700</v>
      </c>
      <c r="J6" s="22">
        <f>'Input data'!J28</f>
        <v>900</v>
      </c>
      <c r="K6" s="28">
        <f>'Input data'!K28</f>
        <v>48200</v>
      </c>
      <c r="L6" s="28">
        <f>SUM(D6:K6)</f>
        <v>126800</v>
      </c>
    </row>
    <row r="7" spans="2:12" x14ac:dyDescent="0.25">
      <c r="C7" s="30" t="s">
        <v>2</v>
      </c>
      <c r="D7" s="24">
        <f t="shared" ref="D7:K7" si="0">D6+D5</f>
        <v>53200</v>
      </c>
      <c r="E7" s="13">
        <f t="shared" si="0"/>
        <v>53800</v>
      </c>
      <c r="F7" s="13">
        <f t="shared" si="0"/>
        <v>26700</v>
      </c>
      <c r="G7" s="25">
        <f t="shared" si="0"/>
        <v>13810</v>
      </c>
      <c r="H7" s="24">
        <f t="shared" si="0"/>
        <v>50580</v>
      </c>
      <c r="I7" s="13">
        <f t="shared" si="0"/>
        <v>6400</v>
      </c>
      <c r="J7" s="25">
        <f t="shared" si="0"/>
        <v>2350</v>
      </c>
      <c r="K7" s="27">
        <f t="shared" si="0"/>
        <v>84400</v>
      </c>
      <c r="L7" s="27">
        <f t="shared" ref="L7:L17" si="1">SUM(D7:K7)</f>
        <v>291240</v>
      </c>
    </row>
    <row r="8" spans="2:12" x14ac:dyDescent="0.25">
      <c r="C8" s="21" t="s">
        <v>3</v>
      </c>
      <c r="D8" s="83">
        <f>'Input data'!D29</f>
        <v>3300</v>
      </c>
      <c r="E8" s="11">
        <f>'Input data'!E29</f>
        <v>3000</v>
      </c>
      <c r="F8" s="11">
        <f>'Input data'!F29</f>
        <v>1500</v>
      </c>
      <c r="G8" s="22">
        <f>'Input data'!G29</f>
        <v>900</v>
      </c>
      <c r="H8" s="83">
        <f>'Input data'!H29</f>
        <v>2800</v>
      </c>
      <c r="I8" s="11">
        <f>'Input data'!I29</f>
        <v>400</v>
      </c>
      <c r="J8" s="22">
        <f>'Input data'!J29</f>
        <v>100</v>
      </c>
      <c r="K8" s="28">
        <f>'Input data'!K29</f>
        <v>1000</v>
      </c>
      <c r="L8" s="28">
        <f>SUM(D8:K8)</f>
        <v>13000</v>
      </c>
    </row>
    <row r="9" spans="2:12" x14ac:dyDescent="0.25">
      <c r="C9" s="21" t="s">
        <v>4</v>
      </c>
      <c r="D9" s="83">
        <f>'Input data'!D30</f>
        <v>10600</v>
      </c>
      <c r="E9" s="11">
        <f>'Input data'!E30</f>
        <v>10800</v>
      </c>
      <c r="F9" s="11">
        <f>'Input data'!F30</f>
        <v>5300</v>
      </c>
      <c r="G9" s="22">
        <f>'Input data'!G30</f>
        <v>2800</v>
      </c>
      <c r="H9" s="83">
        <f>'Input data'!H30</f>
        <v>10200</v>
      </c>
      <c r="I9" s="11">
        <f>'Input data'!I30</f>
        <v>1300</v>
      </c>
      <c r="J9" s="22">
        <f>'Input data'!J30</f>
        <v>500</v>
      </c>
      <c r="K9" s="28">
        <f>'Input data'!K30</f>
        <v>16900</v>
      </c>
      <c r="L9" s="28">
        <f>SUM(D9:K9)</f>
        <v>58400</v>
      </c>
    </row>
    <row r="10" spans="2:12" x14ac:dyDescent="0.25">
      <c r="C10" s="30" t="s">
        <v>5</v>
      </c>
      <c r="D10" s="24">
        <f t="shared" ref="D10:K10" si="2">D7+D8+D9</f>
        <v>67100</v>
      </c>
      <c r="E10" s="13">
        <f t="shared" si="2"/>
        <v>67600</v>
      </c>
      <c r="F10" s="13">
        <f t="shared" si="2"/>
        <v>33500</v>
      </c>
      <c r="G10" s="25">
        <f t="shared" si="2"/>
        <v>17510</v>
      </c>
      <c r="H10" s="24">
        <f t="shared" si="2"/>
        <v>63580</v>
      </c>
      <c r="I10" s="13">
        <f t="shared" si="2"/>
        <v>8100</v>
      </c>
      <c r="J10" s="25">
        <f t="shared" si="2"/>
        <v>2950</v>
      </c>
      <c r="K10" s="27">
        <f t="shared" si="2"/>
        <v>102300</v>
      </c>
      <c r="L10" s="27">
        <f t="shared" si="1"/>
        <v>362640</v>
      </c>
    </row>
    <row r="11" spans="2:12" x14ac:dyDescent="0.25">
      <c r="C11" s="21" t="s">
        <v>86</v>
      </c>
      <c r="D11" s="26">
        <f>D$10*('Input data'!$E$34/100)</f>
        <v>10065</v>
      </c>
      <c r="E11" s="11">
        <f>E$10*('Input data'!$E$34/100)</f>
        <v>10140</v>
      </c>
      <c r="F11" s="11">
        <f>F$10*('Input data'!$E$34/100)</f>
        <v>5025</v>
      </c>
      <c r="G11" s="22">
        <f>G$10*('Input data'!$E$34/100)</f>
        <v>2626.5</v>
      </c>
      <c r="H11" s="26">
        <f>H$10*('Input data'!$E$34/100)</f>
        <v>9537</v>
      </c>
      <c r="I11" s="11">
        <f>I$10*('Input data'!$E$34/100)</f>
        <v>1215</v>
      </c>
      <c r="J11" s="22">
        <f>J$10*('Input data'!$E$34/100)</f>
        <v>442.5</v>
      </c>
      <c r="K11" s="28">
        <f>K$10*('Input data'!$E$34/100)</f>
        <v>15345</v>
      </c>
      <c r="L11" s="28">
        <f t="shared" si="1"/>
        <v>54396</v>
      </c>
    </row>
    <row r="12" spans="2:12" x14ac:dyDescent="0.25">
      <c r="C12" s="30" t="s">
        <v>6</v>
      </c>
      <c r="D12" s="192">
        <f>SUM(D10:G11)</f>
        <v>213566.5</v>
      </c>
      <c r="E12" s="193"/>
      <c r="F12" s="193"/>
      <c r="G12" s="194"/>
      <c r="H12" s="192">
        <f>SUM(H10:J11)</f>
        <v>85824.5</v>
      </c>
      <c r="I12" s="193"/>
      <c r="J12" s="194"/>
      <c r="K12" s="27">
        <f>K10+K11</f>
        <v>117645</v>
      </c>
      <c r="L12" s="27">
        <f t="shared" si="1"/>
        <v>417036</v>
      </c>
    </row>
    <row r="13" spans="2:12" x14ac:dyDescent="0.25">
      <c r="C13" s="21" t="s">
        <v>56</v>
      </c>
      <c r="D13" s="195">
        <f>D12*'Input data'!$H$37/100</f>
        <v>1067.8325</v>
      </c>
      <c r="E13" s="144"/>
      <c r="F13" s="144"/>
      <c r="G13" s="196"/>
      <c r="H13" s="195">
        <f>H12*'Input data'!$H$37/100</f>
        <v>429.1225</v>
      </c>
      <c r="I13" s="144"/>
      <c r="J13" s="196"/>
      <c r="K13" s="28">
        <f>K12*'Input data'!$H$37/100</f>
        <v>588.22500000000002</v>
      </c>
      <c r="L13" s="28">
        <f t="shared" si="1"/>
        <v>2085.1799999999998</v>
      </c>
    </row>
    <row r="14" spans="2:12" x14ac:dyDescent="0.25">
      <c r="C14" s="21" t="s">
        <v>57</v>
      </c>
      <c r="D14" s="195">
        <f>'Input data'!$H$39/12*SUM($D$28:$G$30)+'Input data'!$H$40/100*1/12*$D$27</f>
        <v>355.10725986819421</v>
      </c>
      <c r="E14" s="144"/>
      <c r="F14" s="144"/>
      <c r="G14" s="196"/>
      <c r="H14" s="195">
        <f>'Input data'!$H$39/12*SUM($H$28:$J$30)+'Input data'!$H$40/100*1/12*$H$27</f>
        <v>696.02195223567981</v>
      </c>
      <c r="I14" s="144"/>
      <c r="J14" s="196"/>
      <c r="K14" s="28">
        <f>'Input data'!$H$39/12*SUM($K$28:$K$30)+'Input data'!$H$40/100*1/12*$K$27</f>
        <v>0</v>
      </c>
      <c r="L14" s="28">
        <f t="shared" si="1"/>
        <v>1051.1292121038741</v>
      </c>
    </row>
    <row r="15" spans="2:12" x14ac:dyDescent="0.25">
      <c r="C15" s="21" t="s">
        <v>58</v>
      </c>
      <c r="D15" s="195">
        <f>'Input data'!$H$38/12*$D$23+D12*'Input data'!$H$41/100</f>
        <v>4571.33</v>
      </c>
      <c r="E15" s="144"/>
      <c r="F15" s="144"/>
      <c r="G15" s="196"/>
      <c r="H15" s="195">
        <f>'Input data'!$H$38/12*$H$23+H12*'Input data'!$H$41/100</f>
        <v>1916.49</v>
      </c>
      <c r="I15" s="144"/>
      <c r="J15" s="196"/>
      <c r="K15" s="28">
        <f>'Input data'!$H$38/12*$K$23+K12*'Input data'!$H$41/100</f>
        <v>2352.9</v>
      </c>
      <c r="L15" s="28">
        <f t="shared" si="1"/>
        <v>8840.7199999999993</v>
      </c>
    </row>
    <row r="16" spans="2:12" x14ac:dyDescent="0.25">
      <c r="C16" s="31" t="s">
        <v>47</v>
      </c>
      <c r="D16" s="195">
        <f>D12*'Input data'!$H$42/100</f>
        <v>14949.655000000001</v>
      </c>
      <c r="E16" s="144">
        <f>E12*'Input data'!$H$42/100</f>
        <v>0</v>
      </c>
      <c r="F16" s="144">
        <f>F12*'Input data'!$H$42/100</f>
        <v>0</v>
      </c>
      <c r="G16" s="196">
        <f>G12*'Input data'!$H$42/100</f>
        <v>0</v>
      </c>
      <c r="H16" s="195">
        <f>H12*'Input data'!$H$42/100</f>
        <v>6007.7150000000001</v>
      </c>
      <c r="I16" s="144">
        <f>I12*'Input data'!$H$42/100</f>
        <v>0</v>
      </c>
      <c r="J16" s="196">
        <f>J12*'Input data'!$H$42/100</f>
        <v>0</v>
      </c>
      <c r="K16" s="28">
        <f>K12*'Input data'!$H$42/100</f>
        <v>8235.15</v>
      </c>
      <c r="L16" s="28">
        <f t="shared" si="1"/>
        <v>29192.520000000004</v>
      </c>
    </row>
    <row r="17" spans="2:12" x14ac:dyDescent="0.25">
      <c r="C17" s="21" t="s">
        <v>33</v>
      </c>
      <c r="D17" s="195">
        <f>D12*('Input data'!$D$48-1)</f>
        <v>33987.485369600028</v>
      </c>
      <c r="E17" s="144">
        <f>E12*('Input data'!$D$48-1)</f>
        <v>0</v>
      </c>
      <c r="F17" s="144">
        <f>F12*('Input data'!$D$48-1)</f>
        <v>0</v>
      </c>
      <c r="G17" s="196">
        <f>G12*('Input data'!$D$48-1)</f>
        <v>0</v>
      </c>
      <c r="H17" s="195">
        <f>H12*('Input data'!$D$48-1)</f>
        <v>13658.31690880001</v>
      </c>
      <c r="I17" s="144">
        <f>I12*('Input data'!$D$48-1)</f>
        <v>0</v>
      </c>
      <c r="J17" s="196">
        <f>J12*('Input data'!$D$48-1)</f>
        <v>0</v>
      </c>
      <c r="K17" s="28">
        <f>K12*('Input data'!$D$48-1)</f>
        <v>18722.307648000016</v>
      </c>
      <c r="L17" s="28">
        <f t="shared" si="1"/>
        <v>66368.109926400051</v>
      </c>
    </row>
    <row r="18" spans="2:12" x14ac:dyDescent="0.25">
      <c r="C18" s="23" t="s">
        <v>15</v>
      </c>
      <c r="D18" s="197">
        <f>SUM(D12:G17)</f>
        <v>268497.91012946819</v>
      </c>
      <c r="E18" s="198"/>
      <c r="F18" s="198"/>
      <c r="G18" s="199"/>
      <c r="H18" s="197">
        <f>SUM(H12:J17)</f>
        <v>108532.16636103569</v>
      </c>
      <c r="I18" s="200"/>
      <c r="J18" s="201"/>
      <c r="K18" s="15">
        <f>SUM(K12:K17)</f>
        <v>147543.58264800001</v>
      </c>
      <c r="L18" s="15">
        <f>SUM(L12:L17)</f>
        <v>524573.65913850395</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188" t="s">
        <v>87</v>
      </c>
      <c r="E21" s="189"/>
      <c r="F21" s="189"/>
      <c r="G21" s="190"/>
      <c r="H21" s="188" t="s">
        <v>38</v>
      </c>
      <c r="I21" s="189"/>
      <c r="J21" s="190"/>
      <c r="K21" s="186" t="s">
        <v>12</v>
      </c>
      <c r="L21" s="186" t="s">
        <v>14</v>
      </c>
    </row>
    <row r="22" spans="2:12" ht="33" x14ac:dyDescent="0.25">
      <c r="C22" s="6"/>
      <c r="D22" s="32" t="s">
        <v>13</v>
      </c>
      <c r="E22" s="33" t="s">
        <v>7</v>
      </c>
      <c r="F22" s="33" t="s">
        <v>8</v>
      </c>
      <c r="G22" s="34" t="s">
        <v>88</v>
      </c>
      <c r="H22" s="32" t="s">
        <v>9</v>
      </c>
      <c r="I22" s="33" t="s">
        <v>10</v>
      </c>
      <c r="J22" s="34" t="s">
        <v>11</v>
      </c>
      <c r="K22" s="191"/>
      <c r="L22" s="187"/>
    </row>
    <row r="23" spans="2:12" x14ac:dyDescent="0.25">
      <c r="C23" s="16" t="s">
        <v>39</v>
      </c>
      <c r="D23" s="204">
        <f>'Input data'!$E$54*'Input data'!$F$56/1000</f>
        <v>1200</v>
      </c>
      <c r="E23" s="205"/>
      <c r="F23" s="205"/>
      <c r="G23" s="206"/>
      <c r="H23" s="204">
        <f>'Input data'!$G$54*'Input data'!$F$56/1000</f>
        <v>800</v>
      </c>
      <c r="I23" s="205"/>
      <c r="J23" s="206"/>
      <c r="K23" s="19">
        <f>'Input data'!$H$54*'Input data'!$F$56/1000</f>
        <v>0</v>
      </c>
      <c r="L23" s="19">
        <f t="shared" ref="L23:L32" si="3">SUM(D23:K23)</f>
        <v>2000</v>
      </c>
    </row>
    <row r="24" spans="2:12" x14ac:dyDescent="0.25">
      <c r="C24" s="17" t="s">
        <v>40</v>
      </c>
      <c r="D24" s="202">
        <f>(SUM(D10:D11)*'Input data'!$F$59+SUM(E10:G11)*'Input data'!$F$60)/100/('Input data'!$F$66/100)</f>
        <v>7118.8833333333332</v>
      </c>
      <c r="E24" s="161"/>
      <c r="F24" s="161"/>
      <c r="G24" s="203"/>
      <c r="H24" s="202">
        <f>(SUM(H10:H11)*'Input data'!$F$61+SUM(I10:J11)*'Input data'!$F$62)/100/('Input data'!$F$66/100)</f>
        <v>3258.3333333333335</v>
      </c>
      <c r="I24" s="161"/>
      <c r="J24" s="203"/>
      <c r="K24" s="14">
        <f>SUM(K10:K11)*'Input data'!$F$63/100/('Input data'!$F$66/100)</f>
        <v>1960.7500000000002</v>
      </c>
      <c r="L24" s="14">
        <f t="shared" si="3"/>
        <v>12337.966666666667</v>
      </c>
    </row>
    <row r="25" spans="2:12" x14ac:dyDescent="0.25">
      <c r="C25" s="17" t="s">
        <v>41</v>
      </c>
      <c r="D25" s="202">
        <f>D12*'Input data'!$F$69/100</f>
        <v>1067.8325</v>
      </c>
      <c r="E25" s="161"/>
      <c r="F25" s="161"/>
      <c r="G25" s="203"/>
      <c r="H25" s="202">
        <f>H12*'Input data'!$F$69/100</f>
        <v>429.1225</v>
      </c>
      <c r="I25" s="161"/>
      <c r="J25" s="203"/>
      <c r="K25" s="14">
        <f>K12*'Input data'!$F$69/100</f>
        <v>588.22500000000002</v>
      </c>
      <c r="L25" s="14">
        <f t="shared" si="3"/>
        <v>2085.1799999999998</v>
      </c>
    </row>
    <row r="26" spans="2:12" x14ac:dyDescent="0.25">
      <c r="C26" s="18" t="s">
        <v>17</v>
      </c>
      <c r="D26" s="197">
        <f>SUM(D23:G25)</f>
        <v>9386.7158333333336</v>
      </c>
      <c r="E26" s="198"/>
      <c r="F26" s="198"/>
      <c r="G26" s="199"/>
      <c r="H26" s="197">
        <f>SUM(H23:J25)</f>
        <v>4487.4558333333334</v>
      </c>
      <c r="I26" s="198"/>
      <c r="J26" s="199"/>
      <c r="K26" s="15">
        <f>SUM(K23:K25)</f>
        <v>2548.9750000000004</v>
      </c>
      <c r="L26" s="15">
        <f t="shared" si="3"/>
        <v>16423.146666666667</v>
      </c>
    </row>
    <row r="27" spans="2:12" x14ac:dyDescent="0.25">
      <c r="C27" s="16" t="s">
        <v>42</v>
      </c>
      <c r="D27" s="204">
        <v>0</v>
      </c>
      <c r="E27" s="205"/>
      <c r="F27" s="205"/>
      <c r="G27" s="206"/>
      <c r="H27" s="204">
        <f>'Input data'!$G$85*'Input data'!$F$93/1000</f>
        <v>32289.837707312632</v>
      </c>
      <c r="I27" s="205"/>
      <c r="J27" s="206"/>
      <c r="K27" s="19">
        <v>0</v>
      </c>
      <c r="L27" s="19">
        <f t="shared" si="3"/>
        <v>32289.837707312632</v>
      </c>
    </row>
    <row r="28" spans="2:12" x14ac:dyDescent="0.25">
      <c r="C28" s="17" t="s">
        <v>43</v>
      </c>
      <c r="D28" s="202">
        <f>('Input data'!$E$86*'Input data'!$F$94+'Input data'!$E$87*'Input data'!$F$95+'Input data'!$E$88*'Input data'!$F$96)/1000</f>
        <v>3354.0871184183306</v>
      </c>
      <c r="E28" s="161"/>
      <c r="F28" s="161"/>
      <c r="G28" s="203"/>
      <c r="H28" s="202">
        <v>0</v>
      </c>
      <c r="I28" s="161"/>
      <c r="J28" s="203"/>
      <c r="K28" s="14">
        <v>0</v>
      </c>
      <c r="L28" s="14">
        <f t="shared" si="3"/>
        <v>3354.0871184183306</v>
      </c>
    </row>
    <row r="29" spans="2:12" x14ac:dyDescent="0.25">
      <c r="C29" s="17" t="s">
        <v>44</v>
      </c>
      <c r="D29" s="202">
        <v>0</v>
      </c>
      <c r="E29" s="161"/>
      <c r="F29" s="161"/>
      <c r="G29" s="203"/>
      <c r="H29" s="202">
        <f>'Input data'!$G$89*'Input data'!$F$97/1000</f>
        <v>279.80399999999992</v>
      </c>
      <c r="I29" s="161"/>
      <c r="J29" s="203"/>
      <c r="K29" s="14">
        <v>0</v>
      </c>
      <c r="L29" s="14">
        <f t="shared" si="3"/>
        <v>279.80399999999992</v>
      </c>
    </row>
    <row r="30" spans="2:12" x14ac:dyDescent="0.25">
      <c r="C30" s="17" t="s">
        <v>45</v>
      </c>
      <c r="D30" s="202">
        <f>('Input data'!$E$90*'Input data'!$F$98+'Input data'!$E$88*'Input data'!$F$99)/1000</f>
        <v>907.19999999999982</v>
      </c>
      <c r="E30" s="161"/>
      <c r="F30" s="161"/>
      <c r="G30" s="203"/>
      <c r="H30" s="202">
        <v>0</v>
      </c>
      <c r="I30" s="161"/>
      <c r="J30" s="203"/>
      <c r="K30" s="14">
        <v>0</v>
      </c>
      <c r="L30" s="14">
        <f t="shared" si="3"/>
        <v>907.19999999999982</v>
      </c>
    </row>
    <row r="31" spans="2:12" x14ac:dyDescent="0.25">
      <c r="C31" s="18" t="s">
        <v>18</v>
      </c>
      <c r="D31" s="197">
        <f>SUM(D27:G30)</f>
        <v>4261.2871184183305</v>
      </c>
      <c r="E31" s="198"/>
      <c r="F31" s="198"/>
      <c r="G31" s="199"/>
      <c r="H31" s="197">
        <f>SUM(H27:J30)</f>
        <v>32569.641707312632</v>
      </c>
      <c r="I31" s="198"/>
      <c r="J31" s="199"/>
      <c r="K31" s="15">
        <f>SUM(K27:K30)</f>
        <v>0</v>
      </c>
      <c r="L31" s="15">
        <f t="shared" si="3"/>
        <v>36830.92882573096</v>
      </c>
    </row>
    <row r="32" spans="2:12" x14ac:dyDescent="0.25">
      <c r="C32" s="18" t="s">
        <v>16</v>
      </c>
      <c r="D32" s="197">
        <f>D31+D26</f>
        <v>13648.002951751663</v>
      </c>
      <c r="E32" s="198"/>
      <c r="F32" s="198"/>
      <c r="G32" s="199"/>
      <c r="H32" s="197">
        <f>H26+H31</f>
        <v>37057.097540645962</v>
      </c>
      <c r="I32" s="198"/>
      <c r="J32" s="199"/>
      <c r="K32" s="15">
        <f>K26+K31</f>
        <v>2548.9750000000004</v>
      </c>
      <c r="L32" s="15">
        <f t="shared" si="3"/>
        <v>53254.075492397627</v>
      </c>
    </row>
    <row r="35" spans="2:12" ht="18" x14ac:dyDescent="0.35">
      <c r="D35" s="188" t="s">
        <v>87</v>
      </c>
      <c r="E35" s="189"/>
      <c r="F35" s="189"/>
      <c r="G35" s="190"/>
      <c r="H35" s="188" t="s">
        <v>38</v>
      </c>
      <c r="I35" s="189"/>
      <c r="J35" s="190"/>
      <c r="K35" s="186" t="s">
        <v>12</v>
      </c>
      <c r="L35" s="186" t="s">
        <v>14</v>
      </c>
    </row>
    <row r="36" spans="2:12" ht="33" x14ac:dyDescent="0.25">
      <c r="C36" t="s">
        <v>92</v>
      </c>
      <c r="D36" s="32" t="s">
        <v>13</v>
      </c>
      <c r="E36" s="33" t="s">
        <v>7</v>
      </c>
      <c r="F36" s="33" t="s">
        <v>8</v>
      </c>
      <c r="G36" s="34" t="s">
        <v>88</v>
      </c>
      <c r="H36" s="32" t="s">
        <v>9</v>
      </c>
      <c r="I36" s="33" t="s">
        <v>10</v>
      </c>
      <c r="J36" s="34" t="s">
        <v>11</v>
      </c>
      <c r="K36" s="191"/>
      <c r="L36" s="187"/>
    </row>
    <row r="37" spans="2:12" x14ac:dyDescent="0.25">
      <c r="C37" s="47" t="s">
        <v>90</v>
      </c>
      <c r="D37" s="207">
        <v>0</v>
      </c>
      <c r="E37" s="208"/>
      <c r="F37" s="208"/>
      <c r="G37" s="208"/>
      <c r="H37" s="207">
        <f>-'Input data'!F106*'Input data'!F107/1000*IF('Input data'!F103="No",0,1)</f>
        <v>0</v>
      </c>
      <c r="I37" s="208"/>
      <c r="J37" s="208"/>
      <c r="K37" s="48">
        <v>0</v>
      </c>
      <c r="L37" s="48">
        <f>SUM(D37:K37)</f>
        <v>0</v>
      </c>
    </row>
    <row r="39" spans="2:12" x14ac:dyDescent="0.25">
      <c r="B39" s="2" t="s">
        <v>83</v>
      </c>
    </row>
    <row r="40" spans="2:12" x14ac:dyDescent="0.25">
      <c r="C40" s="6"/>
      <c r="D40" s="38" t="s">
        <v>37</v>
      </c>
    </row>
    <row r="41" spans="2:12" x14ac:dyDescent="0.25">
      <c r="C41" s="35" t="s">
        <v>19</v>
      </c>
      <c r="D41" s="36">
        <f>$L$18/'Input data'!$E$8</f>
        <v>45501.314732331826</v>
      </c>
    </row>
    <row r="42" spans="2:12" x14ac:dyDescent="0.25">
      <c r="C42" s="21" t="s">
        <v>20</v>
      </c>
      <c r="D42" s="37">
        <f>$L$32</f>
        <v>53254.075492397627</v>
      </c>
    </row>
    <row r="43" spans="2:12" x14ac:dyDescent="0.25">
      <c r="C43" s="21" t="s">
        <v>92</v>
      </c>
      <c r="D43" s="37">
        <f>$L$37</f>
        <v>0</v>
      </c>
    </row>
    <row r="44" spans="2:12" x14ac:dyDescent="0.25">
      <c r="C44" s="23" t="s">
        <v>21</v>
      </c>
      <c r="D44" s="39">
        <f>SUM(D41:D43)</f>
        <v>98755.390224729461</v>
      </c>
    </row>
    <row r="45" spans="2:12" x14ac:dyDescent="0.25">
      <c r="D45" s="3"/>
    </row>
    <row r="46" spans="2:12" x14ac:dyDescent="0.25">
      <c r="D46" s="3"/>
    </row>
    <row r="47" spans="2:12" ht="18" x14ac:dyDescent="0.35">
      <c r="C47" s="12" t="s">
        <v>110</v>
      </c>
      <c r="D47" s="40">
        <f>$D$44/'Input data'!$F$19</f>
        <v>129.08535549278528</v>
      </c>
    </row>
    <row r="48" spans="2:12" ht="18" x14ac:dyDescent="0.35">
      <c r="C48" s="12" t="s">
        <v>102</v>
      </c>
      <c r="D48" s="41">
        <f>$D$44/'Input data'!$F$20</f>
        <v>194.08385973268943</v>
      </c>
    </row>
  </sheetData>
  <sheetProtection algorithmName="SHA-512" hashValue="IJs+9PIyKvzlQYDDoSW6FWNZgJ9BxIkRu2sAwBG6/hzMqyzKjV0Xu3JYCGsZRpqas/9K8WBThBE2GuLn96W2oA==" saltValue="ftKmzV7qRHeDvZwwq5E9jw==" spinCount="100000" sheet="1" objects="1" scenarios="1"/>
  <mergeCells count="48">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 ref="D37:G37"/>
    <mergeCell ref="H37:J37"/>
    <mergeCell ref="D35:G35"/>
    <mergeCell ref="H35:J35"/>
    <mergeCell ref="D32:G32"/>
    <mergeCell ref="H32:J32"/>
    <mergeCell ref="D31:G31"/>
    <mergeCell ref="D27:G27"/>
    <mergeCell ref="D23:G23"/>
    <mergeCell ref="D24:G24"/>
    <mergeCell ref="D25:G25"/>
    <mergeCell ref="D15:G15"/>
    <mergeCell ref="H3:J3"/>
    <mergeCell ref="K3:K4"/>
    <mergeCell ref="H30:J30"/>
    <mergeCell ref="D30:G30"/>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72.593045377920077</v>
      </c>
      <c r="F3" t="s">
        <v>38</v>
      </c>
      <c r="G3" s="44" t="s">
        <v>108</v>
      </c>
      <c r="H3" s="50">
        <f>D10+D12</f>
        <v>63.459182512632715</v>
      </c>
    </row>
    <row r="4" spans="2:8" x14ac:dyDescent="0.25">
      <c r="B4" s="89"/>
      <c r="C4" s="90" t="s">
        <v>34</v>
      </c>
      <c r="D4" s="91">
        <f>'Detailed cost results'!$D$18/('Input data'!$F$20*'Input data'!$E$8)</f>
        <v>45.770640195870605</v>
      </c>
      <c r="F4" t="s">
        <v>38</v>
      </c>
      <c r="G4" t="str">
        <f>IF('Input data'!F103="Yes",'Summarised cost results'!G3,'Summarised cost results'!C10)</f>
        <v>Natural gas cost</v>
      </c>
      <c r="H4" s="51">
        <f>IF('Input data'!F103="Yes",H3,D10)</f>
        <v>63.459182512632715</v>
      </c>
    </row>
    <row r="5" spans="2:8" x14ac:dyDescent="0.25">
      <c r="B5" s="92"/>
      <c r="C5" s="90" t="s">
        <v>35</v>
      </c>
      <c r="D5" s="91">
        <f>'Detailed cost results'!$D$26/'Input data'!$F$20</f>
        <v>18.447702297581323</v>
      </c>
    </row>
    <row r="6" spans="2:8" x14ac:dyDescent="0.25">
      <c r="B6" s="92"/>
      <c r="C6" s="90" t="s">
        <v>36</v>
      </c>
      <c r="D6" s="91">
        <f>'Detailed cost results'!$D$31/'Input data'!$F$20</f>
        <v>8.3747028844681513</v>
      </c>
    </row>
    <row r="7" spans="2:8" x14ac:dyDescent="0.25">
      <c r="B7" s="212" t="s">
        <v>38</v>
      </c>
      <c r="C7" s="210"/>
      <c r="D7" s="98">
        <f>SUM(D8:D12)</f>
        <v>91.32967116111665</v>
      </c>
    </row>
    <row r="8" spans="2:8" x14ac:dyDescent="0.25">
      <c r="B8" s="89"/>
      <c r="C8" s="90" t="s">
        <v>34</v>
      </c>
      <c r="D8" s="93">
        <f>'Detailed cost results'!$H$18/('Input data'!$F$20*'Input data'!$E$8)</f>
        <v>18.501398144194095</v>
      </c>
    </row>
    <row r="9" spans="2:8" x14ac:dyDescent="0.25">
      <c r="B9" s="94"/>
      <c r="C9" s="90" t="s">
        <v>35</v>
      </c>
      <c r="D9" s="93">
        <f>'Detailed cost results'!$H$26/'Input data'!$F$20</f>
        <v>8.8191920110018653</v>
      </c>
    </row>
    <row r="10" spans="2:8" x14ac:dyDescent="0.25">
      <c r="B10" s="94"/>
      <c r="C10" s="90" t="s">
        <v>65</v>
      </c>
      <c r="D10" s="91">
        <f>'Detailed cost results'!$H$27/'Input data'!$F$20</f>
        <v>63.459182512632715</v>
      </c>
    </row>
    <row r="11" spans="2:8" x14ac:dyDescent="0.25">
      <c r="B11" s="94"/>
      <c r="C11" s="90" t="s">
        <v>111</v>
      </c>
      <c r="D11" s="91">
        <f>('Detailed cost results'!$H$31-'Detailed cost results'!$H$27)/'Input data'!$F$20</f>
        <v>0.54989849328798213</v>
      </c>
    </row>
    <row r="12" spans="2:8" x14ac:dyDescent="0.25">
      <c r="B12" s="94"/>
      <c r="C12" s="90" t="s">
        <v>92</v>
      </c>
      <c r="D12" s="91">
        <f>'Detailed cost results'!$H$37/'Input data'!$F$20</f>
        <v>0</v>
      </c>
    </row>
    <row r="13" spans="2:8" x14ac:dyDescent="0.25">
      <c r="B13" s="212" t="s">
        <v>12</v>
      </c>
      <c r="C13" s="210"/>
      <c r="D13" s="99">
        <f>SUM(D14:D16)</f>
        <v>30.161143193652698</v>
      </c>
    </row>
    <row r="14" spans="2:8" x14ac:dyDescent="0.25">
      <c r="B14" s="89"/>
      <c r="C14" s="90" t="s">
        <v>34</v>
      </c>
      <c r="D14" s="95">
        <f>'Detailed cost results'!$K$18/('Input data'!$F$20*'Input data'!$E$8)</f>
        <v>25.151645431187781</v>
      </c>
    </row>
    <row r="15" spans="2:8" x14ac:dyDescent="0.25">
      <c r="B15" s="94"/>
      <c r="C15" s="90" t="s">
        <v>35</v>
      </c>
      <c r="D15" s="95">
        <f>'Detailed cost results'!$K$26/'Input data'!$F$20</f>
        <v>5.0094977624649184</v>
      </c>
    </row>
    <row r="16" spans="2:8" x14ac:dyDescent="0.25">
      <c r="B16" s="94"/>
      <c r="C16" s="90" t="s">
        <v>36</v>
      </c>
      <c r="D16" s="95">
        <f>'Detailed cost results'!$K$31/'Input data'!$F$20</f>
        <v>0</v>
      </c>
    </row>
    <row r="17" spans="2:4" x14ac:dyDescent="0.25">
      <c r="B17" s="211" t="s">
        <v>37</v>
      </c>
      <c r="C17" s="211"/>
      <c r="D17" s="100">
        <f>D13+D7+D3</f>
        <v>194.08385973268943</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205" t="s">
        <v>122</v>
      </c>
      <c r="G3" s="213"/>
      <c r="H3" s="20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180.67030716700157</v>
      </c>
      <c r="G5" s="54">
        <f>$E$5*('Summarised cost results'!$D$4+'Summarised cost results'!$D$8+'Summarised cost results'!$D$14)+'Summarised cost results'!$D$17</f>
        <v>225.3821490526278</v>
      </c>
      <c r="H5" s="86">
        <f>(MIN(F5:G5)-'Summarised cost results'!$D$17)/'Summarised cost results'!$D$17</f>
        <v>-6.9112148656576972E-2</v>
      </c>
      <c r="I5" s="86">
        <f>(MAX(F5:G5)-'Summarised cost results'!$D$17)/'Summarised cost results'!$D$17</f>
        <v>0.16126168019867965</v>
      </c>
      <c r="J5" s="43">
        <f>MIN(F5:G5)</f>
        <v>180.67030716700157</v>
      </c>
      <c r="K5" s="59">
        <f>MAX(F5:G5)-MIN(F5:G5)</f>
        <v>44.711841885626228</v>
      </c>
    </row>
    <row r="6" spans="2:11" x14ac:dyDescent="0.25">
      <c r="C6" s="9" t="s">
        <v>35</v>
      </c>
      <c r="D6" s="55">
        <f>'Input data'!$D$113</f>
        <v>-0.2</v>
      </c>
      <c r="E6" s="55">
        <f>'Input data'!$E$113</f>
        <v>0.2</v>
      </c>
      <c r="F6" s="56">
        <f>$D$6*('Summarised cost results'!$D$5+'Summarised cost results'!$D$9+'Summarised cost results'!$D$15)+'Summarised cost results'!$D$17</f>
        <v>187.6285813184798</v>
      </c>
      <c r="G6" s="56">
        <f>$E$6*('Summarised cost results'!$D$5+'Summarised cost results'!$D$9+'Summarised cost results'!$D$15)+'Summarised cost results'!$D$17</f>
        <v>200.53913814689906</v>
      </c>
      <c r="H6" s="87">
        <f>(MIN(F6:G6)-'Summarised cost results'!$D$17)/'Summarised cost results'!$D$17</f>
        <v>-3.3260253702190629E-2</v>
      </c>
      <c r="I6" s="87">
        <f>(MAX(F6:G6)-'Summarised cost results'!$D$17)/'Summarised cost results'!$D$17</f>
        <v>3.3260253702190629E-2</v>
      </c>
      <c r="J6" s="43">
        <f>MIN(F6:G6)</f>
        <v>187.6285813184798</v>
      </c>
      <c r="K6" s="59">
        <f>MAX(F6:G6)-MIN(F6:G6)</f>
        <v>12.91055682841926</v>
      </c>
    </row>
    <row r="7" spans="2:11" x14ac:dyDescent="0.25">
      <c r="C7" s="9" t="s">
        <v>65</v>
      </c>
      <c r="D7" s="55">
        <f>'Input data'!$D$114</f>
        <v>-0.3</v>
      </c>
      <c r="E7" s="55">
        <f>'Input data'!$E$114</f>
        <v>0.3</v>
      </c>
      <c r="F7" s="56">
        <f>$D$7*'Detailed cost results'!$L$27/'Input data'!$F$20+'Summarised cost results'!$D$17</f>
        <v>175.04610497889962</v>
      </c>
      <c r="G7" s="56">
        <f>$E$7*'Detailed cost results'!$L$27/'Input data'!$F$20+'Summarised cost results'!$D$17</f>
        <v>213.12161448647925</v>
      </c>
      <c r="H7" s="87">
        <f>(MIN(F7:G7)-'Summarised cost results'!$D$17)/'Summarised cost results'!$D$17</f>
        <v>-9.8090355272253973E-2</v>
      </c>
      <c r="I7" s="87">
        <f>(MAX(F7:G7)-'Summarised cost results'!$D$17)/'Summarised cost results'!$D$17</f>
        <v>9.8090355272253973E-2</v>
      </c>
      <c r="J7" s="43">
        <f t="shared" ref="J7:J16" si="0">MIN(F7:G7)</f>
        <v>175.04610497889962</v>
      </c>
      <c r="K7" s="59">
        <f>MAX(F7:G7)-MIN(F7:G7)</f>
        <v>38.075509507579625</v>
      </c>
    </row>
    <row r="8" spans="2:11" x14ac:dyDescent="0.25">
      <c r="C8" s="45" t="s">
        <v>112</v>
      </c>
      <c r="D8" s="57">
        <f>'Input data'!$D$113</f>
        <v>-0.2</v>
      </c>
      <c r="E8" s="57">
        <f>'Input data'!$E$113</f>
        <v>0.2</v>
      </c>
      <c r="F8" s="58">
        <f>$D$8*('Summarised cost results'!$D$6+'Summarised cost results'!$D$11+'Summarised cost results'!$D$16)+'Summarised cost results'!$D$17</f>
        <v>192.2989394571382</v>
      </c>
      <c r="G8" s="58">
        <f>$E$8*('Summarised cost results'!$D$6+'Summarised cost results'!$D$11+'Summarised cost results'!$D$16)+'Summarised cost results'!$D$17</f>
        <v>195.86878000824066</v>
      </c>
      <c r="H8" s="88">
        <f>(MIN(F8:G8)-'Summarised cost results'!$D$17)/'Summarised cost results'!$D$17</f>
        <v>-9.1966445742041082E-3</v>
      </c>
      <c r="I8" s="88">
        <f>(MAX(F8:G8)-'Summarised cost results'!$D$17)/'Summarised cost results'!$D$17</f>
        <v>9.1966445742041082E-3</v>
      </c>
      <c r="J8" s="43">
        <f t="shared" si="0"/>
        <v>192.2989394571382</v>
      </c>
      <c r="K8" s="59">
        <f t="shared" ref="K8:K16" si="1">MAX(F8:G8)-MIN(F8:G8)</f>
        <v>3.5698405511024589</v>
      </c>
    </row>
    <row r="9" spans="2:11" ht="18" x14ac:dyDescent="0.25">
      <c r="C9" s="10" t="s">
        <v>109</v>
      </c>
      <c r="D9" s="55">
        <f>'Input data'!$D$115</f>
        <v>-0.3</v>
      </c>
      <c r="E9" s="55">
        <f>'Input data'!$E$115</f>
        <v>0.3</v>
      </c>
      <c r="F9" s="59">
        <f>$D$9*'Summarised cost results'!$D3+'Summarised cost results'!$D$17</f>
        <v>172.3059461193134</v>
      </c>
      <c r="G9" s="59">
        <f>$E$9*'Summarised cost results'!$D3+'Summarised cost results'!$D$17</f>
        <v>215.86177334606546</v>
      </c>
      <c r="H9" s="85">
        <f>(MIN(F9:G9)-'Summarised cost results'!$D$17)/'Summarised cost results'!$D$17</f>
        <v>-0.11220878255085519</v>
      </c>
      <c r="I9" s="85">
        <f>(MAX(F9:G9)-'Summarised cost results'!$D$17)/'Summarised cost results'!$D$17</f>
        <v>0.11220878255085519</v>
      </c>
      <c r="J9" s="121">
        <f t="shared" si="0"/>
        <v>172.3059461193134</v>
      </c>
      <c r="K9" s="54">
        <f t="shared" si="1"/>
        <v>43.555827226752058</v>
      </c>
    </row>
    <row r="10" spans="2:11" x14ac:dyDescent="0.25">
      <c r="C10" s="10" t="s">
        <v>38</v>
      </c>
      <c r="D10" s="55">
        <f>'Input data'!$D$116</f>
        <v>-0.3</v>
      </c>
      <c r="E10" s="55">
        <f>'Input data'!$E$116</f>
        <v>0.3</v>
      </c>
      <c r="F10" s="59">
        <f>$D$10*'Summarised cost results'!$D7+'Summarised cost results'!$D$17</f>
        <v>166.68495838435445</v>
      </c>
      <c r="G10" s="59">
        <f>$E$10*'Summarised cost results'!$D7+'Summarised cost results'!$D$17</f>
        <v>221.48276108102442</v>
      </c>
      <c r="H10" s="85">
        <f>(MIN(F10:G10)-'Summarised cost results'!$D$17)/'Summarised cost results'!$D$17</f>
        <v>-0.14117042697971555</v>
      </c>
      <c r="I10" s="85">
        <f>(MAX(F10:G10)-'Summarised cost results'!$D$17)/'Summarised cost results'!$D$17</f>
        <v>0.14117042697971555</v>
      </c>
      <c r="J10" s="43">
        <f t="shared" si="0"/>
        <v>166.68495838435445</v>
      </c>
      <c r="K10" s="56">
        <f t="shared" si="1"/>
        <v>54.797802696669976</v>
      </c>
    </row>
    <row r="11" spans="2:11" x14ac:dyDescent="0.25">
      <c r="C11" s="9" t="s">
        <v>12</v>
      </c>
      <c r="D11" s="55">
        <f>'Input data'!$D$117</f>
        <v>-0.3</v>
      </c>
      <c r="E11" s="55">
        <f>'Input data'!$E$117</f>
        <v>0.3</v>
      </c>
      <c r="F11" s="56">
        <f>$D$11*'Summarised cost results'!$D$13+'Summarised cost results'!$D$17</f>
        <v>185.03551677459362</v>
      </c>
      <c r="G11" s="56">
        <f>$E$11*'Summarised cost results'!$D13+'Summarised cost results'!$D$17</f>
        <v>203.13220269078525</v>
      </c>
      <c r="H11" s="85">
        <f>(MIN(F11:G11)-'Summarised cost results'!$D$17)/'Summarised cost results'!$D$17</f>
        <v>-4.6620790469429275E-2</v>
      </c>
      <c r="I11" s="85">
        <f>(MAX(F11:G11)-'Summarised cost results'!$D$17)/'Summarised cost results'!$D$17</f>
        <v>4.6620790469429275E-2</v>
      </c>
      <c r="J11" s="122">
        <f>MIN(F11:G11)</f>
        <v>185.03551677459362</v>
      </c>
      <c r="K11" s="58">
        <f>MAX(F11:G11)-MIN(F11:G11)</f>
        <v>18.096685916191632</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186.4029776439553</v>
      </c>
      <c r="G12" s="54">
        <f>'Summarised cost results'!$D$17+'Sensitivity analyses'!$E$12*('Summarised cost results'!$D$8+'Summarised cost results'!$D$9)*'Detailed cost results'!$H$10/SUM('Detailed cost results'!$H$10:$J$10)</f>
        <v>194.08385973268943</v>
      </c>
      <c r="H12" s="86">
        <f>(MIN(F12:G12)-'Summarised cost results'!$D$17)/'Summarised cost results'!$D$17</f>
        <v>-3.9575068732211789E-2</v>
      </c>
      <c r="I12" s="86">
        <f>(MAX(F12:G12)-'Summarised cost results'!$D$17)/'Summarised cost results'!$D$17</f>
        <v>0</v>
      </c>
      <c r="J12" s="43">
        <f t="shared" si="0"/>
        <v>186.4029776439553</v>
      </c>
      <c r="K12" s="59">
        <f t="shared" si="1"/>
        <v>7.6808820887341369</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153.66971965965482</v>
      </c>
      <c r="G13" s="58">
        <f>($E$13*'Detailed cost results'!$L$27/'Input data'!$F$20*'Input data'!I81+'Summarised cost results'!$D$17)/(('Input data'!F20)/('Input data'!F20+('Input data'!F19-'Input data'!F20)*'Sensitivity analyses'!E13))</f>
        <v>194.08385973268943</v>
      </c>
      <c r="H13" s="88">
        <f>(MIN(F13:G13)-'Summarised cost results'!$D$17)/'Summarised cost results'!$D$17</f>
        <v>-0.2082302986384173</v>
      </c>
      <c r="I13" s="88">
        <f>(MAX(F13:G13)-'Summarised cost results'!$D$17)/'Summarised cost results'!$D$17</f>
        <v>0</v>
      </c>
      <c r="J13" s="43">
        <f t="shared" si="0"/>
        <v>153.66971965965482</v>
      </c>
      <c r="K13" s="59">
        <f t="shared" si="1"/>
        <v>40.414140073034616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246.92041893968627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184.71122529112995</v>
      </c>
      <c r="H14" s="86">
        <f>(MIN(F14:G14)-'Summarised cost results'!$D$17)/'Summarised cost results'!$D$17</f>
        <v>-4.8291673787136953E-2</v>
      </c>
      <c r="I14" s="86">
        <f>(MAX(F14:G14)-'Summarised cost results'!$D$17)/'Summarised cost results'!$D$17</f>
        <v>0.2722357195480774</v>
      </c>
      <c r="J14" s="121">
        <f t="shared" si="0"/>
        <v>184.71122529112995</v>
      </c>
      <c r="K14" s="54">
        <f t="shared" si="1"/>
        <v>62.209193648556322</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168.1147444283153</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222.02208073126394</v>
      </c>
      <c r="H15" s="87">
        <f>(MIN(F15:G15)-'Summarised cost results'!$D$17)/'Summarised cost results'!$D$17</f>
        <v>-0.13380358026752578</v>
      </c>
      <c r="I15" s="87">
        <f>(MAX(F15:G15)-'Summarised cost results'!$D$17)/'Summarised cost results'!$D$17</f>
        <v>0.14394922399551233</v>
      </c>
      <c r="J15" s="43">
        <f t="shared" si="0"/>
        <v>168.1147444283153</v>
      </c>
      <c r="K15" s="56">
        <f t="shared" si="1"/>
        <v>53.907336302948636</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227.15837290835819</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190.4089138242818</v>
      </c>
      <c r="H16" s="88">
        <f>(MIN(F16:G16)-'Summarised cost results'!$D$17)/'Summarised cost results'!$D$17</f>
        <v>-1.8934835248377264E-2</v>
      </c>
      <c r="I16" s="88">
        <f>(MAX(F16:G16)-'Summarised cost results'!$D$17)/'Summarised cost results'!$D$17</f>
        <v>0.17041351723539552</v>
      </c>
      <c r="J16" s="122">
        <f t="shared" si="0"/>
        <v>190.4089138242818</v>
      </c>
      <c r="K16" s="58">
        <f t="shared" si="1"/>
        <v>36.749459084076392</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