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H24" i="1" s="1"/>
  <c r="K11" i="1"/>
  <c r="K12" i="1" s="1"/>
  <c r="K25" i="1" s="1"/>
  <c r="L31" i="1"/>
  <c r="F17" i="1"/>
  <c r="G17" i="1"/>
  <c r="I17" i="1"/>
  <c r="J17" i="1"/>
  <c r="E17" i="1"/>
  <c r="B9" i="3"/>
  <c r="L7" i="1"/>
  <c r="D10" i="1"/>
  <c r="O22" i="3" l="1"/>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<sst xmlns="http://schemas.openxmlformats.org/spreadsheetml/2006/main" count="341" uniqueCount="167">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</sst>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29.54765663554959</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5.8850590990888199</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19.35394827708398</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9.3075721716074007</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0.49398807862145699</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63.53284235975098</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53.107093605169013</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20.34495962963349</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8.2500041680671536</c:v>
                </c:pt>
              </c:numCache>
            </c:numRef>
          </c:val>
        </c:ser>
        <c:dLbls>
          <c:showLegendKey val="0"/>
          <c:showVal val="0"/>
          <c:showCatName val="0"/>
          <c:showSerName val="0"/>
          <c:showPercent val="0"/>
          <c:showBubbleSize val="0"/>
        </c:dLbls>
        <c:gapWidth val="150"/>
        <c:overlap val="100"/>
        <c:axId val="305554496"/>
        <c:axId val="305553320"/>
      </c:barChart>
      <c:catAx>
        <c:axId val="3055544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5553320"/>
        <c:crosses val="autoZero"/>
        <c:auto val="1"/>
        <c:lblAlgn val="ctr"/>
        <c:lblOffset val="100"/>
        <c:noMultiLvlLbl val="0"/>
      </c:catAx>
      <c:valAx>
        <c:axId val="3055533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5554496"/>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35.432715734638407</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92.68835088706382</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81.702057402869656</c:v>
                </c:pt>
              </c:numCache>
            </c:numRef>
          </c:val>
        </c:ser>
        <c:dLbls>
          <c:showLegendKey val="0"/>
          <c:showVal val="0"/>
          <c:showCatName val="0"/>
          <c:showSerName val="0"/>
          <c:showPercent val="0"/>
          <c:showBubbleSize val="0"/>
        </c:dLbls>
        <c:gapWidth val="150"/>
        <c:overlap val="100"/>
        <c:axId val="305555280"/>
        <c:axId val="305554888"/>
      </c:barChart>
      <c:catAx>
        <c:axId val="3055552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5554888"/>
        <c:crosses val="autoZero"/>
        <c:auto val="1"/>
        <c:lblAlgn val="ctr"/>
        <c:lblOffset val="100"/>
        <c:noMultiLvlLbl val="0"/>
      </c:catAx>
      <c:valAx>
        <c:axId val="3055548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5555280"/>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194.52181924690149</c:v>
                </c:pt>
                <c:pt idx="1">
                  <c:v>202.71560584450594</c:v>
                </c:pt>
                <c:pt idx="2">
                  <c:v>190.76327131664658</c:v>
                </c:pt>
                <c:pt idx="3">
                  <c:v>208.07432557523416</c:v>
                </c:pt>
                <c:pt idx="4">
                  <c:v>185.31250680371099</c:v>
                </c:pt>
                <c:pt idx="5">
                  <c:v>182.01661875845275</c:v>
                </c:pt>
                <c:pt idx="6">
                  <c:v>199.19330930418036</c:v>
                </c:pt>
                <c:pt idx="7">
                  <c:v>201.63704401671845</c:v>
                </c:pt>
                <c:pt idx="8">
                  <c:v>164.88907065306151</c:v>
                </c:pt>
                <c:pt idx="9">
                  <c:v>199.13143474556261</c:v>
                </c:pt>
                <c:pt idx="10">
                  <c:v>180.19925323174766</c:v>
                </c:pt>
                <c:pt idx="11">
                  <c:v>205.63098572931972</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51.0043492589013</c:v>
                </c:pt>
                <c:pt idx="1">
                  <c:v>14.215036360131876</c:v>
                </c:pt>
                <c:pt idx="2">
                  <c:v>38.119705415850603</c:v>
                </c:pt>
                <c:pt idx="3">
                  <c:v>3.4975968986754538</c:v>
                </c:pt>
                <c:pt idx="4">
                  <c:v>49.021234441721788</c:v>
                </c:pt>
                <c:pt idx="5">
                  <c:v>55.613010532238263</c:v>
                </c:pt>
                <c:pt idx="6">
                  <c:v>21.259629440783044</c:v>
                </c:pt>
                <c:pt idx="7">
                  <c:v>8.1860800078534339</c:v>
                </c:pt>
                <c:pt idx="8">
                  <c:v>44.934053371510373</c:v>
                </c:pt>
                <c:pt idx="9">
                  <c:v>70.964185463037552</c:v>
                </c:pt>
                <c:pt idx="10">
                  <c:v>61.493968766617542</c:v>
                </c:pt>
                <c:pt idx="11">
                  <c:v>41.92138295252164</c:v>
                </c:pt>
              </c:numCache>
            </c:numRef>
          </c:val>
        </c:ser>
        <c:dLbls>
          <c:showLegendKey val="0"/>
          <c:showVal val="0"/>
          <c:showCatName val="0"/>
          <c:showSerName val="0"/>
          <c:showPercent val="0"/>
          <c:showBubbleSize val="0"/>
        </c:dLbls>
        <c:gapWidth val="55"/>
        <c:overlap val="100"/>
        <c:axId val="621004360"/>
        <c:axId val="800593136"/>
      </c:barChart>
      <c:catAx>
        <c:axId val="621004360"/>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800593136"/>
        <c:crosses val="autoZero"/>
        <c:auto val="1"/>
        <c:lblAlgn val="ctr"/>
        <c:lblOffset val="100"/>
        <c:noMultiLvlLbl val="0"/>
      </c:catAx>
      <c:valAx>
        <c:axId val="800593136"/>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21004360"/>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257175</xdr:colOff>
      <xdr:row>1</xdr:row>
      <xdr:rowOff>123825</xdr:rowOff>
    </xdr:from>
    <xdr:to>
      <xdr:col>29</xdr:col>
      <xdr:colOff>349692</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11475"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npnRbOVJBvcDBc64keGiGn2a5I8mF77Vny9Gq8EyXLpAVq47YS/itgDgLjGmwWY0sFvWGAVi4cGfuyh+tlGuBA==" saltValue="I1qujnche6/sIa596JlpW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F16" sqref="F16"/>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88.142373659660194</v>
      </c>
      <c r="G16" s="5" t="s">
        <v>97</v>
      </c>
      <c r="H16" t="s">
        <v>162</v>
      </c>
    </row>
    <row r="17" spans="1:12" ht="18" x14ac:dyDescent="0.35">
      <c r="B17" s="140" t="s">
        <v>98</v>
      </c>
      <c r="C17" s="141"/>
      <c r="D17" s="141"/>
      <c r="E17" s="141"/>
      <c r="F17" s="125">
        <v>30.93451536708098</v>
      </c>
      <c r="G17" s="5" t="s">
        <v>97</v>
      </c>
    </row>
    <row r="18" spans="1:12" x14ac:dyDescent="0.25">
      <c r="B18" s="46"/>
      <c r="C18" s="46"/>
      <c r="G18" s="60"/>
    </row>
    <row r="19" spans="1:12" ht="18" x14ac:dyDescent="0.35">
      <c r="B19" s="140" t="s">
        <v>93</v>
      </c>
      <c r="C19" s="147"/>
      <c r="D19" s="141"/>
      <c r="E19" s="141"/>
      <c r="F19" s="43">
        <f>F16*'Input data'!E12/1000</f>
        <v>740.39593874114541</v>
      </c>
      <c r="G19" s="5" t="s">
        <v>95</v>
      </c>
    </row>
    <row r="20" spans="1:12" ht="18" x14ac:dyDescent="0.35">
      <c r="B20" s="148" t="s">
        <v>94</v>
      </c>
      <c r="C20" s="147"/>
      <c r="D20" s="141"/>
      <c r="E20" s="141"/>
      <c r="F20" s="43">
        <f>(F16-F17)*'Input data'!E12/1000</f>
        <v>480.54600965766531</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c r="E27" s="126">
        <v>76800</v>
      </c>
      <c r="F27" s="126">
        <v>16800</v>
      </c>
      <c r="G27" s="127">
        <v>7830</v>
      </c>
      <c r="H27" s="137">
        <v>32430</v>
      </c>
      <c r="I27" s="126">
        <v>3700</v>
      </c>
      <c r="J27" s="127">
        <v>920</v>
      </c>
      <c r="K27" s="156">
        <v>42000</v>
      </c>
      <c r="L27" s="157"/>
    </row>
    <row r="28" spans="1:12" x14ac:dyDescent="0.25">
      <c r="A28" s="2"/>
      <c r="B28" s="9" t="s">
        <v>1</v>
      </c>
      <c r="C28" s="80"/>
      <c r="D28" s="137"/>
      <c r="E28" s="126">
        <v>45100</v>
      </c>
      <c r="F28" s="126">
        <v>9900</v>
      </c>
      <c r="G28" s="127">
        <v>5700</v>
      </c>
      <c r="H28" s="137">
        <v>18400</v>
      </c>
      <c r="I28" s="126">
        <v>2700</v>
      </c>
      <c r="J28" s="127">
        <v>500</v>
      </c>
      <c r="K28" s="156">
        <v>50900</v>
      </c>
      <c r="L28" s="157"/>
    </row>
    <row r="29" spans="1:12" x14ac:dyDescent="0.25">
      <c r="A29" s="2"/>
      <c r="B29" s="9" t="s">
        <v>3</v>
      </c>
      <c r="C29" s="80"/>
      <c r="D29" s="137"/>
      <c r="E29" s="126">
        <v>6800</v>
      </c>
      <c r="F29" s="126">
        <v>1500</v>
      </c>
      <c r="G29" s="127">
        <v>900</v>
      </c>
      <c r="H29" s="137">
        <v>2800</v>
      </c>
      <c r="I29" s="126">
        <v>400</v>
      </c>
      <c r="J29" s="127">
        <v>100</v>
      </c>
      <c r="K29" s="156">
        <v>2000</v>
      </c>
      <c r="L29" s="157"/>
    </row>
    <row r="30" spans="1:12" x14ac:dyDescent="0.25">
      <c r="A30" s="2"/>
      <c r="B30" s="9" t="s">
        <v>4</v>
      </c>
      <c r="C30" s="80"/>
      <c r="D30" s="138"/>
      <c r="E30" s="128">
        <v>24300</v>
      </c>
      <c r="F30" s="128">
        <v>5300</v>
      </c>
      <c r="G30" s="129">
        <v>2700</v>
      </c>
      <c r="H30" s="138">
        <v>10200</v>
      </c>
      <c r="I30" s="128">
        <v>1300</v>
      </c>
      <c r="J30" s="129">
        <v>300</v>
      </c>
      <c r="K30" s="163">
        <v>18600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10</v>
      </c>
      <c r="F54" s="162"/>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546.8184</v>
      </c>
      <c r="H75" s="160" t="s">
        <v>29</v>
      </c>
      <c r="I75" s="141"/>
      <c r="J75" s="5" t="s">
        <v>136</v>
      </c>
    </row>
    <row r="76" spans="1:10" ht="15.75" x14ac:dyDescent="0.25">
      <c r="A76" s="101"/>
      <c r="B76" s="9" t="s">
        <v>137</v>
      </c>
      <c r="C76" s="80"/>
      <c r="D76" s="80"/>
      <c r="E76" s="161"/>
      <c r="F76" s="162"/>
      <c r="G76" s="61" t="s">
        <v>29</v>
      </c>
      <c r="H76" s="160" t="s">
        <v>29</v>
      </c>
      <c r="I76" s="141"/>
      <c r="J76" s="5" t="s">
        <v>138</v>
      </c>
    </row>
    <row r="77" spans="1:10" ht="15.75" x14ac:dyDescent="0.25">
      <c r="A77" s="101"/>
      <c r="B77" s="9" t="s">
        <v>139</v>
      </c>
      <c r="C77" s="80"/>
      <c r="D77" s="80"/>
      <c r="E77" s="161">
        <v>182.8</v>
      </c>
      <c r="F77" s="162"/>
      <c r="G77" s="61" t="s">
        <v>29</v>
      </c>
      <c r="H77" s="160" t="s">
        <v>29</v>
      </c>
      <c r="I77" s="141"/>
      <c r="J77" s="5" t="s">
        <v>140</v>
      </c>
    </row>
    <row r="78" spans="1:10" ht="15.75" x14ac:dyDescent="0.25">
      <c r="A78" s="101"/>
      <c r="B78" s="9" t="s">
        <v>141</v>
      </c>
      <c r="C78" s="80"/>
      <c r="D78" s="80"/>
      <c r="E78" s="160" t="s">
        <v>29</v>
      </c>
      <c r="F78" s="141"/>
      <c r="G78" s="136">
        <v>282.60000000000002</v>
      </c>
      <c r="H78" s="160" t="s">
        <v>29</v>
      </c>
      <c r="I78" s="141"/>
      <c r="J78" s="5" t="s">
        <v>138</v>
      </c>
    </row>
    <row r="79" spans="1:10" ht="15.75" x14ac:dyDescent="0.25">
      <c r="A79" s="101"/>
      <c r="B79" s="9" t="s">
        <v>142</v>
      </c>
      <c r="C79" s="80"/>
      <c r="D79" s="80"/>
      <c r="E79" s="161">
        <v>0.47</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0.68237985013347358</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4593274.5599999987</v>
      </c>
      <c r="H85" s="160" t="s">
        <v>29</v>
      </c>
      <c r="I85" s="140"/>
      <c r="J85" s="5" t="s">
        <v>143</v>
      </c>
    </row>
    <row r="86" spans="1:10" ht="15" hidden="1" customHeight="1" x14ac:dyDescent="0.25">
      <c r="A86" s="101"/>
      <c r="B86" s="9" t="s">
        <v>137</v>
      </c>
      <c r="C86" s="80"/>
      <c r="D86" s="80"/>
      <c r="E86" s="160">
        <f>'Input data'!E76*'Input data'!$E$12</f>
        <v>0</v>
      </c>
      <c r="F86" s="140"/>
      <c r="G86" s="61" t="s">
        <v>29</v>
      </c>
      <c r="H86" s="160" t="s">
        <v>29</v>
      </c>
      <c r="I86" s="140"/>
      <c r="J86" s="5" t="s">
        <v>144</v>
      </c>
    </row>
    <row r="87" spans="1:10" ht="20.25" hidden="1" customHeight="1" x14ac:dyDescent="0.25">
      <c r="A87" s="101"/>
      <c r="B87" s="9" t="s">
        <v>139</v>
      </c>
      <c r="C87" s="80"/>
      <c r="D87" s="80"/>
      <c r="E87" s="160">
        <f>'Input data'!E77*'Input data'!$E$12/1000</f>
        <v>1535.5199999999998</v>
      </c>
      <c r="F87" s="140"/>
      <c r="G87" s="61" t="s">
        <v>29</v>
      </c>
      <c r="H87" s="160" t="s">
        <v>29</v>
      </c>
      <c r="I87" s="140"/>
      <c r="J87" s="5" t="s">
        <v>144</v>
      </c>
    </row>
    <row r="88" spans="1:10" ht="15.75" x14ac:dyDescent="0.25">
      <c r="A88" s="101"/>
      <c r="B88" s="9" t="s">
        <v>145</v>
      </c>
      <c r="C88" s="80"/>
      <c r="D88" s="80"/>
      <c r="E88" s="161">
        <v>0.71758091996919371</v>
      </c>
      <c r="F88" s="161"/>
      <c r="G88" s="61" t="s">
        <v>29</v>
      </c>
      <c r="H88" s="160" t="s">
        <v>29</v>
      </c>
      <c r="I88" s="140"/>
      <c r="J88" s="5" t="s">
        <v>144</v>
      </c>
    </row>
    <row r="89" spans="1:10" ht="14.25" hidden="1" x14ac:dyDescent="0.25">
      <c r="A89" s="101"/>
      <c r="B89" s="9" t="s">
        <v>141</v>
      </c>
      <c r="C89" s="80"/>
      <c r="D89" s="80"/>
      <c r="E89" s="160" t="s">
        <v>29</v>
      </c>
      <c r="F89" s="140"/>
      <c r="G89" s="61">
        <f>'Input data'!G78*'Input data'!$E$12</f>
        <v>2373839.9999999995</v>
      </c>
      <c r="H89" s="160" t="s">
        <v>29</v>
      </c>
      <c r="I89" s="140"/>
      <c r="J89" s="80" t="s">
        <v>144</v>
      </c>
    </row>
    <row r="90" spans="1:10" ht="14.25" hidden="1" x14ac:dyDescent="0.25">
      <c r="A90" s="101"/>
      <c r="B90" s="9" t="s">
        <v>142</v>
      </c>
      <c r="C90" s="80"/>
      <c r="D90" s="80"/>
      <c r="E90" s="160">
        <f>'Input data'!E79*'Input data'!$E$12</f>
        <v>3947.9999999999991</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v>
      </c>
      <c r="G105" s="5" t="s">
        <v>149</v>
      </c>
    </row>
    <row r="106" spans="1:15" hidden="1" x14ac:dyDescent="0.25">
      <c r="B106" s="9" t="s">
        <v>153</v>
      </c>
      <c r="C106" s="80"/>
      <c r="D106" s="80"/>
      <c r="E106" s="80"/>
      <c r="F106" s="135">
        <f>'Input data'!F105*'Input data'!$E$12</f>
        <v>0</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0</v>
      </c>
      <c r="E5" s="111">
        <f>'Input data'!E27</f>
        <v>76800</v>
      </c>
      <c r="F5" s="111">
        <f>'Input data'!F27</f>
        <v>16800</v>
      </c>
      <c r="G5" s="112">
        <f>'Input data'!G27</f>
        <v>7830</v>
      </c>
      <c r="H5" s="110">
        <f>'Input data'!H27</f>
        <v>32430</v>
      </c>
      <c r="I5" s="111">
        <f>'Input data'!I27</f>
        <v>3700</v>
      </c>
      <c r="J5" s="112">
        <f>'Input data'!J27</f>
        <v>920</v>
      </c>
      <c r="K5" s="29">
        <f>'Input data'!K27</f>
        <v>42000</v>
      </c>
      <c r="L5" s="29">
        <f>SUM(D5:K5)</f>
        <v>180480</v>
      </c>
    </row>
    <row r="6" spans="2:12" x14ac:dyDescent="0.25">
      <c r="C6" s="21" t="s">
        <v>1</v>
      </c>
      <c r="D6" s="83">
        <f>'Input data'!D28</f>
        <v>0</v>
      </c>
      <c r="E6" s="11">
        <f>'Input data'!E28</f>
        <v>45100</v>
      </c>
      <c r="F6" s="11">
        <f>'Input data'!F28</f>
        <v>9900</v>
      </c>
      <c r="G6" s="22">
        <f>'Input data'!G28</f>
        <v>5700</v>
      </c>
      <c r="H6" s="83">
        <f>'Input data'!H28</f>
        <v>18400</v>
      </c>
      <c r="I6" s="11">
        <f>'Input data'!I28</f>
        <v>2700</v>
      </c>
      <c r="J6" s="22">
        <f>'Input data'!J28</f>
        <v>500</v>
      </c>
      <c r="K6" s="28">
        <f>'Input data'!K28</f>
        <v>50900</v>
      </c>
      <c r="L6" s="28">
        <f>SUM(D6:K6)</f>
        <v>133200</v>
      </c>
    </row>
    <row r="7" spans="2:12" x14ac:dyDescent="0.25">
      <c r="C7" s="30" t="s">
        <v>2</v>
      </c>
      <c r="D7" s="24">
        <f t="shared" ref="D7:K7" si="0">D6+D5</f>
        <v>0</v>
      </c>
      <c r="E7" s="13">
        <f t="shared" si="0"/>
        <v>121900</v>
      </c>
      <c r="F7" s="13">
        <f t="shared" si="0"/>
        <v>26700</v>
      </c>
      <c r="G7" s="25">
        <f t="shared" si="0"/>
        <v>13530</v>
      </c>
      <c r="H7" s="24">
        <f t="shared" si="0"/>
        <v>50830</v>
      </c>
      <c r="I7" s="13">
        <f t="shared" si="0"/>
        <v>6400</v>
      </c>
      <c r="J7" s="25">
        <f t="shared" si="0"/>
        <v>1420</v>
      </c>
      <c r="K7" s="27">
        <f t="shared" si="0"/>
        <v>92900</v>
      </c>
      <c r="L7" s="27">
        <f t="shared" ref="L7:L17" si="1">SUM(D7:K7)</f>
        <v>313680</v>
      </c>
    </row>
    <row r="8" spans="2:12" x14ac:dyDescent="0.25">
      <c r="C8" s="21" t="s">
        <v>3</v>
      </c>
      <c r="D8" s="83">
        <f>'Input data'!D29</f>
        <v>0</v>
      </c>
      <c r="E8" s="11">
        <f>'Input data'!E29</f>
        <v>6800</v>
      </c>
      <c r="F8" s="11">
        <f>'Input data'!F29</f>
        <v>1500</v>
      </c>
      <c r="G8" s="22">
        <f>'Input data'!G29</f>
        <v>900</v>
      </c>
      <c r="H8" s="83">
        <f>'Input data'!H29</f>
        <v>2800</v>
      </c>
      <c r="I8" s="11">
        <f>'Input data'!I29</f>
        <v>400</v>
      </c>
      <c r="J8" s="22">
        <f>'Input data'!J29</f>
        <v>100</v>
      </c>
      <c r="K8" s="28">
        <f>'Input data'!K29</f>
        <v>2000</v>
      </c>
      <c r="L8" s="28">
        <f>SUM(D8:K8)</f>
        <v>14500</v>
      </c>
    </row>
    <row r="9" spans="2:12" x14ac:dyDescent="0.25">
      <c r="C9" s="21" t="s">
        <v>4</v>
      </c>
      <c r="D9" s="83">
        <f>'Input data'!D30</f>
        <v>0</v>
      </c>
      <c r="E9" s="11">
        <f>'Input data'!E30</f>
        <v>24300</v>
      </c>
      <c r="F9" s="11">
        <f>'Input data'!F30</f>
        <v>5300</v>
      </c>
      <c r="G9" s="22">
        <f>'Input data'!G30</f>
        <v>2700</v>
      </c>
      <c r="H9" s="83">
        <f>'Input data'!H30</f>
        <v>10200</v>
      </c>
      <c r="I9" s="11">
        <f>'Input data'!I30</f>
        <v>1300</v>
      </c>
      <c r="J9" s="22">
        <f>'Input data'!J30</f>
        <v>300</v>
      </c>
      <c r="K9" s="28">
        <f>'Input data'!K30</f>
        <v>18600</v>
      </c>
      <c r="L9" s="28">
        <f>SUM(D9:K9)</f>
        <v>62700</v>
      </c>
    </row>
    <row r="10" spans="2:12" x14ac:dyDescent="0.25">
      <c r="C10" s="30" t="s">
        <v>5</v>
      </c>
      <c r="D10" s="24">
        <f t="shared" ref="D10:K10" si="2">D7+D8+D9</f>
        <v>0</v>
      </c>
      <c r="E10" s="13">
        <f t="shared" si="2"/>
        <v>153000</v>
      </c>
      <c r="F10" s="13">
        <f t="shared" si="2"/>
        <v>33500</v>
      </c>
      <c r="G10" s="25">
        <f t="shared" si="2"/>
        <v>17130</v>
      </c>
      <c r="H10" s="24">
        <f t="shared" si="2"/>
        <v>63830</v>
      </c>
      <c r="I10" s="13">
        <f t="shared" si="2"/>
        <v>8100</v>
      </c>
      <c r="J10" s="25">
        <f t="shared" si="2"/>
        <v>1820</v>
      </c>
      <c r="K10" s="27">
        <f t="shared" si="2"/>
        <v>113500</v>
      </c>
      <c r="L10" s="27">
        <f t="shared" si="1"/>
        <v>390880</v>
      </c>
    </row>
    <row r="11" spans="2:12" x14ac:dyDescent="0.25">
      <c r="C11" s="21" t="s">
        <v>86</v>
      </c>
      <c r="D11" s="26">
        <f>D$10*('Input data'!$E$34/100)</f>
        <v>0</v>
      </c>
      <c r="E11" s="11">
        <f>E$10*('Input data'!$E$34/100)</f>
        <v>22950</v>
      </c>
      <c r="F11" s="11">
        <f>F$10*('Input data'!$E$34/100)</f>
        <v>5025</v>
      </c>
      <c r="G11" s="22">
        <f>G$10*('Input data'!$E$34/100)</f>
        <v>2569.5</v>
      </c>
      <c r="H11" s="26">
        <f>H$10*('Input data'!$E$34/100)</f>
        <v>9574.5</v>
      </c>
      <c r="I11" s="11">
        <f>I$10*('Input data'!$E$34/100)</f>
        <v>1215</v>
      </c>
      <c r="J11" s="22">
        <f>J$10*('Input data'!$E$34/100)</f>
        <v>273</v>
      </c>
      <c r="K11" s="28">
        <f>K$10*('Input data'!$E$34/100)</f>
        <v>17025</v>
      </c>
      <c r="L11" s="28">
        <f t="shared" si="1"/>
        <v>58632</v>
      </c>
    </row>
    <row r="12" spans="2:12" x14ac:dyDescent="0.25">
      <c r="C12" s="30" t="s">
        <v>6</v>
      </c>
      <c r="D12" s="204">
        <f>SUM(D10:G11)</f>
        <v>234174.5</v>
      </c>
      <c r="E12" s="205"/>
      <c r="F12" s="205"/>
      <c r="G12" s="206"/>
      <c r="H12" s="204">
        <f>SUM(H10:J11)</f>
        <v>84812.5</v>
      </c>
      <c r="I12" s="205"/>
      <c r="J12" s="206"/>
      <c r="K12" s="27">
        <f>K10+K11</f>
        <v>130525</v>
      </c>
      <c r="L12" s="27">
        <f t="shared" si="1"/>
        <v>449512</v>
      </c>
    </row>
    <row r="13" spans="2:12" x14ac:dyDescent="0.25">
      <c r="C13" s="21" t="s">
        <v>56</v>
      </c>
      <c r="D13" s="189">
        <f>D12*'Input data'!$H$37/100</f>
        <v>1170.8724999999999</v>
      </c>
      <c r="E13" s="166"/>
      <c r="F13" s="166"/>
      <c r="G13" s="190"/>
      <c r="H13" s="189">
        <f>H12*'Input data'!$H$37/100</f>
        <v>424.0625</v>
      </c>
      <c r="I13" s="166"/>
      <c r="J13" s="190"/>
      <c r="K13" s="28">
        <f>K12*'Input data'!$H$37/100</f>
        <v>652.625</v>
      </c>
      <c r="L13" s="28">
        <f t="shared" si="1"/>
        <v>2247.56</v>
      </c>
    </row>
    <row r="14" spans="2:12" x14ac:dyDescent="0.25">
      <c r="C14" s="21" t="s">
        <v>57</v>
      </c>
      <c r="D14" s="189">
        <f>'Input data'!$H$39/12*SUM($D$28:$G$30)+'Input data'!$H$40/100*1/12*$D$27</f>
        <v>330.37554855198147</v>
      </c>
      <c r="E14" s="166"/>
      <c r="F14" s="166"/>
      <c r="G14" s="190"/>
      <c r="H14" s="189">
        <f>'Input data'!$H$39/12*SUM($H$28:$J$30)+'Input data'!$H$40/100*1/12*$H$27</f>
        <v>655.83312246224625</v>
      </c>
      <c r="I14" s="166"/>
      <c r="J14" s="190"/>
      <c r="K14" s="28">
        <f>'Input data'!$H$39/12*SUM($K$28:$K$30)+'Input data'!$H$40/100*1/12*$K$27</f>
        <v>0</v>
      </c>
      <c r="L14" s="28">
        <f t="shared" si="1"/>
        <v>986.20867101422778</v>
      </c>
    </row>
    <row r="15" spans="2:12" x14ac:dyDescent="0.25">
      <c r="C15" s="21" t="s">
        <v>58</v>
      </c>
      <c r="D15" s="189">
        <f>'Input data'!$H$38/12*$D$23+D12*'Input data'!$H$41/100</f>
        <v>4883.49</v>
      </c>
      <c r="E15" s="166"/>
      <c r="F15" s="166"/>
      <c r="G15" s="190"/>
      <c r="H15" s="189">
        <f>'Input data'!$H$38/12*$H$23+H12*'Input data'!$H$41/100</f>
        <v>1896.25</v>
      </c>
      <c r="I15" s="166"/>
      <c r="J15" s="190"/>
      <c r="K15" s="28">
        <f>'Input data'!$H$38/12*$K$23+K12*'Input data'!$H$41/100</f>
        <v>2610.5</v>
      </c>
      <c r="L15" s="28">
        <f t="shared" si="1"/>
        <v>9390.24</v>
      </c>
    </row>
    <row r="16" spans="2:12" x14ac:dyDescent="0.25">
      <c r="C16" s="31" t="s">
        <v>47</v>
      </c>
      <c r="D16" s="189">
        <f>D12*'Input data'!$H$42/100</f>
        <v>16392.215</v>
      </c>
      <c r="E16" s="166">
        <f>E12*'Input data'!$H$42/100</f>
        <v>0</v>
      </c>
      <c r="F16" s="166">
        <f>F12*'Input data'!$H$42/100</f>
        <v>0</v>
      </c>
      <c r="G16" s="190">
        <f>G12*'Input data'!$H$42/100</f>
        <v>0</v>
      </c>
      <c r="H16" s="189">
        <f>H12*'Input data'!$H$42/100</f>
        <v>5936.875</v>
      </c>
      <c r="I16" s="166">
        <f>I12*'Input data'!$H$42/100</f>
        <v>0</v>
      </c>
      <c r="J16" s="190">
        <f>J12*'Input data'!$H$42/100</f>
        <v>0</v>
      </c>
      <c r="K16" s="28">
        <f>K12*'Input data'!$H$42/100</f>
        <v>9136.75</v>
      </c>
      <c r="L16" s="28">
        <f t="shared" si="1"/>
        <v>31465.84</v>
      </c>
    </row>
    <row r="17" spans="2:12" x14ac:dyDescent="0.25">
      <c r="C17" s="21" t="s">
        <v>33</v>
      </c>
      <c r="D17" s="189">
        <f>D12*('Input data'!$D$48-1)</f>
        <v>37267.091948800029</v>
      </c>
      <c r="E17" s="166">
        <f>E12*('Input data'!$D$48-1)</f>
        <v>0</v>
      </c>
      <c r="F17" s="166">
        <f>F12*('Input data'!$D$48-1)</f>
        <v>0</v>
      </c>
      <c r="G17" s="190">
        <f>G12*('Input data'!$D$48-1)</f>
        <v>0</v>
      </c>
      <c r="H17" s="189">
        <f>H12*('Input data'!$D$48-1)</f>
        <v>13497.264800000012</v>
      </c>
      <c r="I17" s="166">
        <f>I12*('Input data'!$D$48-1)</f>
        <v>0</v>
      </c>
      <c r="J17" s="190">
        <f>J12*('Input data'!$D$48-1)</f>
        <v>0</v>
      </c>
      <c r="K17" s="28">
        <f>K12*('Input data'!$D$48-1)</f>
        <v>20772.061760000015</v>
      </c>
      <c r="L17" s="28">
        <f t="shared" si="1"/>
        <v>71536.418508800052</v>
      </c>
    </row>
    <row r="18" spans="2:12" x14ac:dyDescent="0.25">
      <c r="C18" s="23" t="s">
        <v>15</v>
      </c>
      <c r="D18" s="191">
        <f>SUM(D12:G17)</f>
        <v>294218.544997352</v>
      </c>
      <c r="E18" s="192"/>
      <c r="F18" s="192"/>
      <c r="G18" s="193"/>
      <c r="H18" s="191">
        <f>SUM(H12:J17)</f>
        <v>107222.78542246227</v>
      </c>
      <c r="I18" s="207"/>
      <c r="J18" s="208"/>
      <c r="K18" s="15">
        <f>SUM(K12:K17)</f>
        <v>163696.93676000001</v>
      </c>
      <c r="L18" s="15">
        <f>SUM(L12:L17)</f>
        <v>565138.26717981428</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800</v>
      </c>
      <c r="E23" s="195"/>
      <c r="F23" s="195"/>
      <c r="G23" s="196"/>
      <c r="H23" s="194">
        <f>'Input data'!$G$54*'Input data'!$F$56/1000</f>
        <v>800</v>
      </c>
      <c r="I23" s="195"/>
      <c r="J23" s="196"/>
      <c r="K23" s="19">
        <f>'Input data'!$H$54*'Input data'!$F$56/1000</f>
        <v>0</v>
      </c>
      <c r="L23" s="19">
        <f t="shared" ref="L23:L32" si="3">SUM(D23:K23)</f>
        <v>1600</v>
      </c>
    </row>
    <row r="24" spans="2:12" x14ac:dyDescent="0.25">
      <c r="C24" s="17" t="s">
        <v>40</v>
      </c>
      <c r="D24" s="197">
        <f>(SUM(D10:D11)*'Input data'!$F$59+SUM(E10:G11)*'Input data'!$F$60)/100/('Input data'!$F$66/100)</f>
        <v>7805.8166666666666</v>
      </c>
      <c r="E24" s="144"/>
      <c r="F24" s="144"/>
      <c r="G24" s="198"/>
      <c r="H24" s="197">
        <f>(SUM(H10:H11)*'Input data'!$F$61+SUM(I10:J11)*'Input data'!$F$62)/100/('Input data'!$F$66/100)</f>
        <v>3248.6541666666672</v>
      </c>
      <c r="I24" s="144"/>
      <c r="J24" s="198"/>
      <c r="K24" s="14">
        <f>SUM(K10:K11)*'Input data'!$F$63/100/('Input data'!$F$66/100)</f>
        <v>2175.416666666667</v>
      </c>
      <c r="L24" s="14">
        <f t="shared" si="3"/>
        <v>13229.887500000001</v>
      </c>
    </row>
    <row r="25" spans="2:12" x14ac:dyDescent="0.25">
      <c r="C25" s="17" t="s">
        <v>41</v>
      </c>
      <c r="D25" s="197">
        <f>D12*'Input data'!$F$69/100</f>
        <v>1170.8724999999999</v>
      </c>
      <c r="E25" s="144"/>
      <c r="F25" s="144"/>
      <c r="G25" s="198"/>
      <c r="H25" s="197">
        <f>H12*'Input data'!$F$69/100</f>
        <v>424.0625</v>
      </c>
      <c r="I25" s="144"/>
      <c r="J25" s="198"/>
      <c r="K25" s="14">
        <f>K12*'Input data'!$F$69/100</f>
        <v>652.625</v>
      </c>
      <c r="L25" s="14">
        <f t="shared" si="3"/>
        <v>2247.56</v>
      </c>
    </row>
    <row r="26" spans="2:12" x14ac:dyDescent="0.25">
      <c r="C26" s="18" t="s">
        <v>17</v>
      </c>
      <c r="D26" s="191">
        <f>SUM(D23:G25)</f>
        <v>9776.6891666666652</v>
      </c>
      <c r="E26" s="192"/>
      <c r="F26" s="192"/>
      <c r="G26" s="193"/>
      <c r="H26" s="191">
        <f>SUM(H23:J25)</f>
        <v>4472.7166666666672</v>
      </c>
      <c r="I26" s="192"/>
      <c r="J26" s="193"/>
      <c r="K26" s="15">
        <f>SUM(K23:K25)</f>
        <v>2828.041666666667</v>
      </c>
      <c r="L26" s="15">
        <f t="shared" si="3"/>
        <v>17077.447499999998</v>
      </c>
    </row>
    <row r="27" spans="2:12" x14ac:dyDescent="0.25">
      <c r="C27" s="16" t="s">
        <v>42</v>
      </c>
      <c r="D27" s="194">
        <v>0</v>
      </c>
      <c r="E27" s="195"/>
      <c r="F27" s="195"/>
      <c r="G27" s="196"/>
      <c r="H27" s="194">
        <f>'Input data'!$G$85*'Input data'!$F$93/1000</f>
        <v>30530.453878187822</v>
      </c>
      <c r="I27" s="195"/>
      <c r="J27" s="196"/>
      <c r="K27" s="19">
        <v>0</v>
      </c>
      <c r="L27" s="19">
        <f t="shared" si="3"/>
        <v>30530.453878187822</v>
      </c>
    </row>
    <row r="28" spans="2:12" x14ac:dyDescent="0.25">
      <c r="C28" s="17" t="s">
        <v>43</v>
      </c>
      <c r="D28" s="197">
        <f>('Input data'!$E$86*'Input data'!$F$94+'Input data'!$E$87*'Input data'!$F$95+'Input data'!$E$88*'Input data'!$F$96)/1000</f>
        <v>3076.2065826237781</v>
      </c>
      <c r="E28" s="144"/>
      <c r="F28" s="144"/>
      <c r="G28" s="198"/>
      <c r="H28" s="197">
        <v>0</v>
      </c>
      <c r="I28" s="144"/>
      <c r="J28" s="198"/>
      <c r="K28" s="14">
        <v>0</v>
      </c>
      <c r="L28" s="14">
        <f t="shared" si="3"/>
        <v>3076.2065826237781</v>
      </c>
    </row>
    <row r="29" spans="2:12" x14ac:dyDescent="0.25">
      <c r="C29" s="17" t="s">
        <v>44</v>
      </c>
      <c r="D29" s="197">
        <v>0</v>
      </c>
      <c r="E29" s="144"/>
      <c r="F29" s="144"/>
      <c r="G29" s="198"/>
      <c r="H29" s="197">
        <f>'Input data'!$G$89*'Input data'!$F$97/1000</f>
        <v>237.38399999999996</v>
      </c>
      <c r="I29" s="144"/>
      <c r="J29" s="198"/>
      <c r="K29" s="14">
        <v>0</v>
      </c>
      <c r="L29" s="14">
        <f t="shared" si="3"/>
        <v>237.38399999999996</v>
      </c>
    </row>
    <row r="30" spans="2:12" x14ac:dyDescent="0.25">
      <c r="C30" s="17" t="s">
        <v>45</v>
      </c>
      <c r="D30" s="197">
        <f>('Input data'!$E$90*'Input data'!$F$98+'Input data'!$E$88*'Input data'!$F$99)/1000</f>
        <v>888.29999999999973</v>
      </c>
      <c r="E30" s="144"/>
      <c r="F30" s="144"/>
      <c r="G30" s="198"/>
      <c r="H30" s="197">
        <v>0</v>
      </c>
      <c r="I30" s="144"/>
      <c r="J30" s="198"/>
      <c r="K30" s="14">
        <v>0</v>
      </c>
      <c r="L30" s="14">
        <f t="shared" si="3"/>
        <v>888.29999999999973</v>
      </c>
    </row>
    <row r="31" spans="2:12" x14ac:dyDescent="0.25">
      <c r="C31" s="18" t="s">
        <v>18</v>
      </c>
      <c r="D31" s="191">
        <f>SUM(D27:G30)</f>
        <v>3964.5065826237778</v>
      </c>
      <c r="E31" s="192"/>
      <c r="F31" s="192"/>
      <c r="G31" s="193"/>
      <c r="H31" s="191">
        <f>SUM(H27:J30)</f>
        <v>30767.83787818782</v>
      </c>
      <c r="I31" s="192"/>
      <c r="J31" s="193"/>
      <c r="K31" s="15">
        <f>SUM(K27:K30)</f>
        <v>0</v>
      </c>
      <c r="L31" s="15">
        <f t="shared" si="3"/>
        <v>34732.344460811597</v>
      </c>
    </row>
    <row r="32" spans="2:12" x14ac:dyDescent="0.25">
      <c r="C32" s="18" t="s">
        <v>16</v>
      </c>
      <c r="D32" s="191">
        <f>D31+D26</f>
        <v>13741.195749290444</v>
      </c>
      <c r="E32" s="192"/>
      <c r="F32" s="192"/>
      <c r="G32" s="193"/>
      <c r="H32" s="191">
        <f>H26+H31</f>
        <v>35240.554544854487</v>
      </c>
      <c r="I32" s="192"/>
      <c r="J32" s="193"/>
      <c r="K32" s="15">
        <f>K26+K31</f>
        <v>2828.041666666667</v>
      </c>
      <c r="L32" s="15">
        <f t="shared" si="3"/>
        <v>51809.791960811599</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49019.873023101834</v>
      </c>
    </row>
    <row r="42" spans="2:12" x14ac:dyDescent="0.25">
      <c r="C42" s="21" t="s">
        <v>20</v>
      </c>
      <c r="D42" s="37">
        <f>$L$32</f>
        <v>51809.791960811599</v>
      </c>
    </row>
    <row r="43" spans="2:12" x14ac:dyDescent="0.25">
      <c r="C43" s="21" t="s">
        <v>92</v>
      </c>
      <c r="D43" s="37">
        <f>$L$37</f>
        <v>0</v>
      </c>
    </row>
    <row r="44" spans="2:12" x14ac:dyDescent="0.25">
      <c r="C44" s="23" t="s">
        <v>21</v>
      </c>
      <c r="D44" s="39">
        <f>SUM(D41:D43)</f>
        <v>100829.66498391343</v>
      </c>
    </row>
    <row r="45" spans="2:12" x14ac:dyDescent="0.25">
      <c r="D45" s="3"/>
    </row>
    <row r="46" spans="2:12" x14ac:dyDescent="0.25">
      <c r="D46" s="3"/>
    </row>
    <row r="47" spans="2:12" ht="18" x14ac:dyDescent="0.35">
      <c r="C47" s="12" t="s">
        <v>110</v>
      </c>
      <c r="D47" s="40">
        <f>$D$44/'Input data'!$F$19</f>
        <v>136.18343876297942</v>
      </c>
    </row>
    <row r="48" spans="2:12" ht="18" x14ac:dyDescent="0.35">
      <c r="C48" s="12" t="s">
        <v>102</v>
      </c>
      <c r="D48" s="41">
        <f>$D$44/'Input data'!$F$20</f>
        <v>209.82312402457191</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81.702057402869656</v>
      </c>
      <c r="F3" t="s">
        <v>38</v>
      </c>
      <c r="G3" s="44" t="s">
        <v>108</v>
      </c>
      <c r="H3" s="50">
        <f>D10+D12</f>
        <v>63.53284235975098</v>
      </c>
    </row>
    <row r="4" spans="2:8" x14ac:dyDescent="0.25">
      <c r="B4" s="89"/>
      <c r="C4" s="90" t="s">
        <v>34</v>
      </c>
      <c r="D4" s="91">
        <f>'Detailed cost results'!$D$18/('Input data'!$F$20*'Input data'!$E$8)</f>
        <v>53.107093605169013</v>
      </c>
      <c r="F4" t="s">
        <v>38</v>
      </c>
      <c r="G4" t="str">
        <f>IF('Input data'!F103="Yes",'Summarised cost results'!G3,'Summarised cost results'!C10)</f>
        <v>Natural gas cost</v>
      </c>
      <c r="H4" s="51">
        <f>IF('Input data'!F103="Yes",H3,D10)</f>
        <v>63.53284235975098</v>
      </c>
    </row>
    <row r="5" spans="2:8" x14ac:dyDescent="0.25">
      <c r="B5" s="92"/>
      <c r="C5" s="90" t="s">
        <v>35</v>
      </c>
      <c r="D5" s="91">
        <f>'Detailed cost results'!$D$26/'Input data'!$F$20</f>
        <v>20.34495962963349</v>
      </c>
    </row>
    <row r="6" spans="2:8" x14ac:dyDescent="0.25">
      <c r="B6" s="92"/>
      <c r="C6" s="90" t="s">
        <v>36</v>
      </c>
      <c r="D6" s="91">
        <f>'Detailed cost results'!$D$31/'Input data'!$F$20</f>
        <v>8.2500041680671536</v>
      </c>
    </row>
    <row r="7" spans="2:8" x14ac:dyDescent="0.25">
      <c r="B7" s="212" t="s">
        <v>38</v>
      </c>
      <c r="C7" s="210"/>
      <c r="D7" s="98">
        <f>SUM(D8:D12)</f>
        <v>92.68835088706382</v>
      </c>
    </row>
    <row r="8" spans="2:8" x14ac:dyDescent="0.25">
      <c r="B8" s="89"/>
      <c r="C8" s="90" t="s">
        <v>34</v>
      </c>
      <c r="D8" s="93">
        <f>'Detailed cost results'!$H$18/('Input data'!$F$20*'Input data'!$E$8)</f>
        <v>19.35394827708398</v>
      </c>
    </row>
    <row r="9" spans="2:8" x14ac:dyDescent="0.25">
      <c r="B9" s="94"/>
      <c r="C9" s="90" t="s">
        <v>35</v>
      </c>
      <c r="D9" s="93">
        <f>'Detailed cost results'!$H$26/'Input data'!$F$20</f>
        <v>9.3075721716074007</v>
      </c>
    </row>
    <row r="10" spans="2:8" x14ac:dyDescent="0.25">
      <c r="B10" s="94"/>
      <c r="C10" s="90" t="s">
        <v>65</v>
      </c>
      <c r="D10" s="91">
        <f>'Detailed cost results'!$H$27/'Input data'!$F$20</f>
        <v>63.53284235975098</v>
      </c>
    </row>
    <row r="11" spans="2:8" x14ac:dyDescent="0.25">
      <c r="B11" s="94"/>
      <c r="C11" s="90" t="s">
        <v>111</v>
      </c>
      <c r="D11" s="91">
        <f>('Detailed cost results'!$H$31-'Detailed cost results'!$H$27)/'Input data'!$F$20</f>
        <v>0.49398807862145699</v>
      </c>
    </row>
    <row r="12" spans="2:8" x14ac:dyDescent="0.25">
      <c r="B12" s="94"/>
      <c r="C12" s="90" t="s">
        <v>92</v>
      </c>
      <c r="D12" s="91">
        <f>'Detailed cost results'!$H$37/'Input data'!$F$20</f>
        <v>0</v>
      </c>
    </row>
    <row r="13" spans="2:8" x14ac:dyDescent="0.25">
      <c r="B13" s="212" t="s">
        <v>12</v>
      </c>
      <c r="C13" s="210"/>
      <c r="D13" s="99">
        <f>SUM(D14:D16)</f>
        <v>35.432715734638407</v>
      </c>
    </row>
    <row r="14" spans="2:8" x14ac:dyDescent="0.25">
      <c r="B14" s="89"/>
      <c r="C14" s="90" t="s">
        <v>34</v>
      </c>
      <c r="D14" s="95">
        <f>'Detailed cost results'!$K$18/('Input data'!$F$20*'Input data'!$E$8)</f>
        <v>29.54765663554959</v>
      </c>
    </row>
    <row r="15" spans="2:8" x14ac:dyDescent="0.25">
      <c r="B15" s="94"/>
      <c r="C15" s="90" t="s">
        <v>35</v>
      </c>
      <c r="D15" s="95">
        <f>'Detailed cost results'!$K$26/'Input data'!$F$20</f>
        <v>5.8850590990888199</v>
      </c>
    </row>
    <row r="16" spans="2:8" x14ac:dyDescent="0.25">
      <c r="B16" s="94"/>
      <c r="C16" s="90" t="s">
        <v>36</v>
      </c>
      <c r="D16" s="95">
        <f>'Detailed cost results'!$K$31/'Input data'!$F$20</f>
        <v>0</v>
      </c>
    </row>
    <row r="17" spans="2:4" x14ac:dyDescent="0.25">
      <c r="B17" s="211" t="s">
        <v>37</v>
      </c>
      <c r="C17" s="211"/>
      <c r="D17" s="100">
        <f>D13+D7+D3</f>
        <v>209.82312402457188</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194.52181924690149</v>
      </c>
      <c r="G5" s="54">
        <f>$E$5*('Summarised cost results'!$D$4+'Summarised cost results'!$D$8+'Summarised cost results'!$D$14)+'Summarised cost results'!$D$17</f>
        <v>245.52616850580279</v>
      </c>
      <c r="H5" s="86">
        <f>(MIN(F5:G5)-'Summarised cost results'!$D$17)/'Summarised cost results'!$D$17</f>
        <v>-7.2924778185451553E-2</v>
      </c>
      <c r="I5" s="86">
        <f>(MAX(F5:G5)-'Summarised cost results'!$D$17)/'Summarised cost results'!$D$17</f>
        <v>0.17015781576605354</v>
      </c>
      <c r="J5" s="43">
        <f>MIN(F5:G5)</f>
        <v>194.52181924690149</v>
      </c>
      <c r="K5" s="59">
        <f>MAX(F5:G5)-MIN(F5:G5)</f>
        <v>51.0043492589013</v>
      </c>
    </row>
    <row r="6" spans="2:11" x14ac:dyDescent="0.25">
      <c r="C6" s="9" t="s">
        <v>35</v>
      </c>
      <c r="D6" s="55">
        <f>'Input data'!$D$113</f>
        <v>-0.2</v>
      </c>
      <c r="E6" s="55">
        <f>'Input data'!$E$113</f>
        <v>0.2</v>
      </c>
      <c r="F6" s="56">
        <f>$D$6*('Summarised cost results'!$D$5+'Summarised cost results'!$D$9+'Summarised cost results'!$D$15)+'Summarised cost results'!$D$17</f>
        <v>202.71560584450594</v>
      </c>
      <c r="G6" s="56">
        <f>$E$6*('Summarised cost results'!$D$5+'Summarised cost results'!$D$9+'Summarised cost results'!$D$15)+'Summarised cost results'!$D$17</f>
        <v>216.93064220463782</v>
      </c>
      <c r="H6" s="87">
        <f>(MIN(F6:G6)-'Summarised cost results'!$D$17)/'Summarised cost results'!$D$17</f>
        <v>-3.3873855482361388E-2</v>
      </c>
      <c r="I6" s="87">
        <f>(MAX(F6:G6)-'Summarised cost results'!$D$17)/'Summarised cost results'!$D$17</f>
        <v>3.3873855482361388E-2</v>
      </c>
      <c r="J6" s="43">
        <f>MIN(F6:G6)</f>
        <v>202.71560584450594</v>
      </c>
      <c r="K6" s="59">
        <f>MAX(F6:G6)-MIN(F6:G6)</f>
        <v>14.215036360131876</v>
      </c>
    </row>
    <row r="7" spans="2:11" x14ac:dyDescent="0.25">
      <c r="C7" s="9" t="s">
        <v>65</v>
      </c>
      <c r="D7" s="55">
        <f>'Input data'!$D$114</f>
        <v>-0.3</v>
      </c>
      <c r="E7" s="55">
        <f>'Input data'!$E$114</f>
        <v>0.3</v>
      </c>
      <c r="F7" s="56">
        <f>$D$7*'Detailed cost results'!$L$27/'Input data'!$F$20+'Summarised cost results'!$D$17</f>
        <v>190.76327131664658</v>
      </c>
      <c r="G7" s="56">
        <f>$E$7*'Detailed cost results'!$L$27/'Input data'!$F$20+'Summarised cost results'!$D$17</f>
        <v>228.88297673249718</v>
      </c>
      <c r="H7" s="87">
        <f>(MIN(F7:G7)-'Summarised cost results'!$D$17)/'Summarised cost results'!$D$17</f>
        <v>-9.0837712938128062E-2</v>
      </c>
      <c r="I7" s="87">
        <f>(MAX(F7:G7)-'Summarised cost results'!$D$17)/'Summarised cost results'!$D$17</f>
        <v>9.0837712938128062E-2</v>
      </c>
      <c r="J7" s="43">
        <f t="shared" ref="J7:J16" si="0">MIN(F7:G7)</f>
        <v>190.76327131664658</v>
      </c>
      <c r="K7" s="59">
        <f>MAX(F7:G7)-MIN(F7:G7)</f>
        <v>38.119705415850603</v>
      </c>
    </row>
    <row r="8" spans="2:11" x14ac:dyDescent="0.25">
      <c r="C8" s="45" t="s">
        <v>112</v>
      </c>
      <c r="D8" s="57">
        <f>'Input data'!$D$113</f>
        <v>-0.2</v>
      </c>
      <c r="E8" s="57">
        <f>'Input data'!$E$113</f>
        <v>0.2</v>
      </c>
      <c r="F8" s="58">
        <f>$D$8*('Summarised cost results'!$D$6+'Summarised cost results'!$D$11+'Summarised cost results'!$D$16)+'Summarised cost results'!$D$17</f>
        <v>208.07432557523416</v>
      </c>
      <c r="G8" s="58">
        <f>$E$8*('Summarised cost results'!$D$6+'Summarised cost results'!$D$11+'Summarised cost results'!$D$16)+'Summarised cost results'!$D$17</f>
        <v>211.57192247390961</v>
      </c>
      <c r="H8" s="88">
        <f>(MIN(F8:G8)-'Summarised cost results'!$D$17)/'Summarised cost results'!$D$17</f>
        <v>-8.3346316449512455E-3</v>
      </c>
      <c r="I8" s="88">
        <f>(MAX(F8:G8)-'Summarised cost results'!$D$17)/'Summarised cost results'!$D$17</f>
        <v>8.3346316449512455E-3</v>
      </c>
      <c r="J8" s="43">
        <f t="shared" si="0"/>
        <v>208.07432557523416</v>
      </c>
      <c r="K8" s="59">
        <f t="shared" ref="K8:K16" si="1">MAX(F8:G8)-MIN(F8:G8)</f>
        <v>3.4975968986754538</v>
      </c>
    </row>
    <row r="9" spans="2:11" ht="18" x14ac:dyDescent="0.25">
      <c r="C9" s="10" t="s">
        <v>109</v>
      </c>
      <c r="D9" s="55">
        <f>'Input data'!$D$115</f>
        <v>-0.3</v>
      </c>
      <c r="E9" s="55">
        <f>'Input data'!$E$115</f>
        <v>0.3</v>
      </c>
      <c r="F9" s="59">
        <f>$D$9*'Summarised cost results'!$D3+'Summarised cost results'!$D$17</f>
        <v>185.31250680371099</v>
      </c>
      <c r="G9" s="59">
        <f>$E$9*'Summarised cost results'!$D3+'Summarised cost results'!$D$17</f>
        <v>234.33374124543278</v>
      </c>
      <c r="H9" s="85">
        <f>(MIN(F9:G9)-'Summarised cost results'!$D$17)/'Summarised cost results'!$D$17</f>
        <v>-0.11681561474602063</v>
      </c>
      <c r="I9" s="85">
        <f>(MAX(F9:G9)-'Summarised cost results'!$D$17)/'Summarised cost results'!$D$17</f>
        <v>0.11681561474602063</v>
      </c>
      <c r="J9" s="121">
        <f t="shared" si="0"/>
        <v>185.31250680371099</v>
      </c>
      <c r="K9" s="54">
        <f t="shared" si="1"/>
        <v>49.021234441721788</v>
      </c>
    </row>
    <row r="10" spans="2:11" x14ac:dyDescent="0.25">
      <c r="C10" s="10" t="s">
        <v>38</v>
      </c>
      <c r="D10" s="55">
        <f>'Input data'!$D$116</f>
        <v>-0.3</v>
      </c>
      <c r="E10" s="55">
        <f>'Input data'!$E$116</f>
        <v>0.3</v>
      </c>
      <c r="F10" s="59">
        <f>$D$10*'Summarised cost results'!$D7+'Summarised cost results'!$D$17</f>
        <v>182.01661875845275</v>
      </c>
      <c r="G10" s="59">
        <f>$E$10*'Summarised cost results'!$D7+'Summarised cost results'!$D$17</f>
        <v>237.62962929069101</v>
      </c>
      <c r="H10" s="85">
        <f>(MIN(F10:G10)-'Summarised cost results'!$D$17)/'Summarised cost results'!$D$17</f>
        <v>-0.13252354999186255</v>
      </c>
      <c r="I10" s="85">
        <f>(MAX(F10:G10)-'Summarised cost results'!$D$17)/'Summarised cost results'!$D$17</f>
        <v>0.13252354999186255</v>
      </c>
      <c r="J10" s="43">
        <f t="shared" si="0"/>
        <v>182.01661875845275</v>
      </c>
      <c r="K10" s="56">
        <f t="shared" si="1"/>
        <v>55.613010532238263</v>
      </c>
    </row>
    <row r="11" spans="2:11" x14ac:dyDescent="0.25">
      <c r="C11" s="9" t="s">
        <v>12</v>
      </c>
      <c r="D11" s="55">
        <f>'Input data'!$D$117</f>
        <v>-0.3</v>
      </c>
      <c r="E11" s="55">
        <f>'Input data'!$E$117</f>
        <v>0.3</v>
      </c>
      <c r="F11" s="56">
        <f>$D$11*'Summarised cost results'!$D$13+'Summarised cost results'!$D$17</f>
        <v>199.19330930418036</v>
      </c>
      <c r="G11" s="56">
        <f>$E$11*'Summarised cost results'!$D13+'Summarised cost results'!$D$17</f>
        <v>220.4529387449634</v>
      </c>
      <c r="H11" s="85">
        <f>(MIN(F11:G11)-'Summarised cost results'!$D$17)/'Summarised cost results'!$D$17</f>
        <v>-5.0660835262116725E-2</v>
      </c>
      <c r="I11" s="85">
        <f>(MAX(F11:G11)-'Summarised cost results'!$D$17)/'Summarised cost results'!$D$17</f>
        <v>5.0660835262116725E-2</v>
      </c>
      <c r="J11" s="122">
        <f>MIN(F11:G11)</f>
        <v>199.19330930418036</v>
      </c>
      <c r="K11" s="58">
        <f>MAX(F11:G11)-MIN(F11:G11)</f>
        <v>21.259629440783044</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201.63704401671845</v>
      </c>
      <c r="G12" s="54">
        <f>'Summarised cost results'!$D$17+'Sensitivity analyses'!$E$12*('Summarised cost results'!$D$8+'Summarised cost results'!$D$9)*'Detailed cost results'!$H$10/SUM('Detailed cost results'!$H$10:$J$10)</f>
        <v>209.82312402457188</v>
      </c>
      <c r="H12" s="86">
        <f>(MIN(F12:G12)-'Summarised cost results'!$D$17)/'Summarised cost results'!$D$17</f>
        <v>-3.9014193721063753E-2</v>
      </c>
      <c r="I12" s="86">
        <f>(MAX(F12:G12)-'Summarised cost results'!$D$17)/'Summarised cost results'!$D$17</f>
        <v>0</v>
      </c>
      <c r="J12" s="43">
        <f t="shared" si="0"/>
        <v>201.63704401671845</v>
      </c>
      <c r="K12" s="59">
        <f t="shared" si="1"/>
        <v>8.1860800078534339</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164.88907065306151</v>
      </c>
      <c r="G13" s="58">
        <f>($E$13*'Detailed cost results'!$L$27/'Input data'!$F$20*'Input data'!I81+'Summarised cost results'!$D$17)/(('Input data'!F20)/('Input data'!F20+('Input data'!F19-'Input data'!F20)*'Sensitivity analyses'!E13))</f>
        <v>209.82312402457188</v>
      </c>
      <c r="H13" s="88">
        <f>(MIN(F13:G13)-'Summarised cost results'!$D$17)/'Summarised cost results'!$D$17</f>
        <v>-0.21415205583464791</v>
      </c>
      <c r="I13" s="88">
        <f>(MAX(F13:G13)-'Summarised cost results'!$D$17)/'Summarised cost results'!$D$17</f>
        <v>0</v>
      </c>
      <c r="J13" s="43">
        <f t="shared" si="0"/>
        <v>164.88907065306151</v>
      </c>
      <c r="K13" s="59">
        <f t="shared" si="1"/>
        <v>44.934053371510373</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270.09562020860017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199.13143474556261</v>
      </c>
      <c r="H14" s="86">
        <f>(MIN(F14:G14)-'Summarised cost results'!$D$17)/'Summarised cost results'!$D$17</f>
        <v>-5.0955724392689861E-2</v>
      </c>
      <c r="I14" s="86">
        <f>(MAX(F14:G14)-'Summarised cost results'!$D$17)/'Summarised cost results'!$D$17</f>
        <v>0.28725383088362516</v>
      </c>
      <c r="J14" s="121">
        <f t="shared" si="0"/>
        <v>199.13143474556261</v>
      </c>
      <c r="K14" s="54">
        <f t="shared" si="1"/>
        <v>70.964185463037552</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180.19925323174766</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241.6932219983652</v>
      </c>
      <c r="H15" s="87">
        <f>(MIN(F15:G15)-'Summarised cost results'!$D$17)/'Summarised cost results'!$D$17</f>
        <v>-0.14118496676922532</v>
      </c>
      <c r="I15" s="87">
        <f>(MAX(F15:G15)-'Summarised cost results'!$D$17)/'Summarised cost results'!$D$17</f>
        <v>0.15189030342557044</v>
      </c>
      <c r="J15" s="43">
        <f t="shared" si="0"/>
        <v>180.19925323174766</v>
      </c>
      <c r="K15" s="56">
        <f t="shared" si="1"/>
        <v>61.493968766617542</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247.55236868184136</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205.63098572931972</v>
      </c>
      <c r="H16" s="88">
        <f>(MIN(F16:G16)-'Summarised cost results'!$D$17)/'Summarised cost results'!$D$17</f>
        <v>-1.9979391283685363E-2</v>
      </c>
      <c r="I16" s="88">
        <f>(MAX(F16:G16)-'Summarised cost results'!$D$17)/'Summarised cost results'!$D$17</f>
        <v>0.17981452155316824</v>
      </c>
      <c r="J16" s="122">
        <f t="shared" si="0"/>
        <v>205.63098572931972</v>
      </c>
      <c r="K16" s="58">
        <f t="shared" si="1"/>
        <v>41.92138295252164</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