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7650"/>
  </bookViews>
  <sheets>
    <sheet name="Presentation - instructions" sheetId="9" r:id="rId1"/>
    <sheet name="Input data" sheetId="2" r:id="rId2"/>
    <sheet name="Discount factors" sheetId="3" r:id="rId3"/>
    <sheet name="Detailed cost results" sheetId="1" r:id="rId4"/>
    <sheet name="Summarised cost results" sheetId="4" r:id="rId5"/>
    <sheet name="Sensitivity analyses" sheetId="6" r:id="rId6"/>
  </sheets>
  <definedNames>
    <definedName name="List">'Input data'!$O$103:$O$104</definedName>
    <definedName name="Number_of_years">'Discount factors'!$B$6:$B$55</definedName>
    <definedName name="Type_cost">'Summarised cost results'!#REF!</definedName>
  </definedNames>
  <calcPr calcId="152511"/>
</workbook>
</file>

<file path=xl/calcChain.xml><?xml version="1.0" encoding="utf-8"?>
<calcChain xmlns="http://schemas.openxmlformats.org/spreadsheetml/2006/main">
  <c r="C7" i="3" l="1"/>
  <c r="D7" i="3" s="1"/>
  <c r="C8" i="3"/>
  <c r="D8" i="3" s="1"/>
  <c r="C9" i="3"/>
  <c r="D9" i="3" s="1"/>
  <c r="C10" i="3"/>
  <c r="D10" i="3" s="1"/>
  <c r="C11" i="3"/>
  <c r="D11" i="3" s="1"/>
  <c r="C12" i="3"/>
  <c r="D12" i="3" s="1"/>
  <c r="C13" i="3"/>
  <c r="D13" i="3" s="1"/>
  <c r="C14" i="3"/>
  <c r="D14" i="3" s="1"/>
  <c r="C15" i="3"/>
  <c r="D15" i="3" s="1"/>
  <c r="C16" i="3"/>
  <c r="D16" i="3" s="1"/>
  <c r="C17" i="3"/>
  <c r="D17" i="3" s="1"/>
  <c r="C18" i="3"/>
  <c r="D18" i="3" s="1"/>
  <c r="C19" i="3"/>
  <c r="D19" i="3" s="1"/>
  <c r="C20" i="3"/>
  <c r="D20" i="3" s="1"/>
  <c r="C21" i="3"/>
  <c r="D21" i="3" s="1"/>
  <c r="C22" i="3"/>
  <c r="D22" i="3" s="1"/>
  <c r="C23" i="3"/>
  <c r="D23" i="3" s="1"/>
  <c r="C24" i="3"/>
  <c r="D24" i="3" s="1"/>
  <c r="C25" i="3"/>
  <c r="D25" i="3" s="1"/>
  <c r="C26" i="3"/>
  <c r="D26" i="3" s="1"/>
  <c r="C27" i="3"/>
  <c r="D27" i="3" s="1"/>
  <c r="C28" i="3"/>
  <c r="D28" i="3" s="1"/>
  <c r="C29" i="3"/>
  <c r="D29" i="3" s="1"/>
  <c r="C30" i="3"/>
  <c r="D30" i="3" s="1"/>
  <c r="C31" i="3"/>
  <c r="D31" i="3" s="1"/>
  <c r="C32" i="3"/>
  <c r="D32" i="3" s="1"/>
  <c r="C33" i="3"/>
  <c r="D33" i="3" s="1"/>
  <c r="C34" i="3"/>
  <c r="D34" i="3" s="1"/>
  <c r="C35" i="3"/>
  <c r="D35" i="3" s="1"/>
  <c r="C36" i="3"/>
  <c r="D36" i="3" s="1"/>
  <c r="C37" i="3"/>
  <c r="D37" i="3" s="1"/>
  <c r="C38" i="3"/>
  <c r="D38" i="3" s="1"/>
  <c r="C39" i="3"/>
  <c r="D39" i="3" s="1"/>
  <c r="C40" i="3"/>
  <c r="D40" i="3" s="1"/>
  <c r="C41" i="3"/>
  <c r="D41" i="3" s="1"/>
  <c r="C42" i="3"/>
  <c r="D42" i="3" s="1"/>
  <c r="C43" i="3"/>
  <c r="D43" i="3" s="1"/>
  <c r="C44" i="3"/>
  <c r="D44" i="3" s="1"/>
  <c r="C45" i="3"/>
  <c r="D45" i="3" s="1"/>
  <c r="C46" i="3"/>
  <c r="D46" i="3" s="1"/>
  <c r="C47" i="3"/>
  <c r="D47" i="3" s="1"/>
  <c r="C48" i="3"/>
  <c r="D48" i="3" s="1"/>
  <c r="C49" i="3"/>
  <c r="D49" i="3" s="1"/>
  <c r="C50" i="3"/>
  <c r="D50" i="3" s="1"/>
  <c r="C51" i="3"/>
  <c r="D51" i="3" s="1"/>
  <c r="C52" i="3"/>
  <c r="D52" i="3" s="1"/>
  <c r="C53" i="3"/>
  <c r="D53" i="3" s="1"/>
  <c r="C54" i="3"/>
  <c r="D54" i="3" s="1"/>
  <c r="C55" i="3"/>
  <c r="D55" i="3"/>
  <c r="C56" i="3"/>
  <c r="D56" i="3" s="1"/>
  <c r="C57" i="3"/>
  <c r="D57" i="3" s="1"/>
  <c r="C58" i="3"/>
  <c r="D58" i="3" s="1"/>
  <c r="U6" i="3"/>
  <c r="V6" i="3" s="1"/>
  <c r="R6" i="3"/>
  <c r="S6" i="3" s="1"/>
  <c r="O6" i="3"/>
  <c r="P6" i="3" s="1"/>
  <c r="F6" i="3"/>
  <c r="G6" i="3" s="1"/>
  <c r="C6" i="3"/>
  <c r="D6" i="3" s="1"/>
  <c r="L6" i="3"/>
  <c r="M6" i="3" s="1"/>
  <c r="I6" i="3"/>
  <c r="J6" i="3" s="1"/>
  <c r="D59" i="3" l="1"/>
  <c r="E9" i="6"/>
  <c r="E10" i="6"/>
  <c r="E11" i="6"/>
  <c r="E12" i="6"/>
  <c r="E13" i="6"/>
  <c r="D13" i="6"/>
  <c r="D12" i="6"/>
  <c r="D11" i="6"/>
  <c r="D10" i="6"/>
  <c r="D9" i="6"/>
  <c r="E8" i="6"/>
  <c r="E7" i="6"/>
  <c r="E6" i="6"/>
  <c r="D7" i="6"/>
  <c r="D5" i="6"/>
  <c r="D23" i="1"/>
  <c r="D45" i="2" l="1"/>
  <c r="E11" i="2" l="1"/>
  <c r="E16" i="6" l="1"/>
  <c r="D16" i="6"/>
  <c r="E8" i="1"/>
  <c r="F8" i="1"/>
  <c r="G8" i="1"/>
  <c r="H8" i="1"/>
  <c r="I8" i="1"/>
  <c r="J8" i="1"/>
  <c r="K8" i="1"/>
  <c r="E9" i="1"/>
  <c r="F9" i="1"/>
  <c r="G9" i="1"/>
  <c r="H9" i="1"/>
  <c r="I9" i="1"/>
  <c r="J9" i="1"/>
  <c r="K9" i="1"/>
  <c r="D9" i="1"/>
  <c r="D8" i="1"/>
  <c r="E5" i="1"/>
  <c r="F5" i="1"/>
  <c r="G5" i="1"/>
  <c r="H5" i="1"/>
  <c r="I5" i="1"/>
  <c r="J5" i="1"/>
  <c r="K5" i="1"/>
  <c r="E6" i="1"/>
  <c r="F6" i="1"/>
  <c r="G6" i="1"/>
  <c r="H6" i="1"/>
  <c r="I6" i="1"/>
  <c r="J6" i="1"/>
  <c r="K6" i="1"/>
  <c r="D6" i="1"/>
  <c r="D5" i="1"/>
  <c r="L5" i="1" l="1"/>
  <c r="L8" i="1"/>
  <c r="L6" i="1"/>
  <c r="L9" i="1"/>
  <c r="E15" i="6"/>
  <c r="D15" i="6"/>
  <c r="E14" i="6"/>
  <c r="D14" i="6"/>
  <c r="T7" i="3" l="1"/>
  <c r="U7" i="3" s="1"/>
  <c r="V7" i="3" s="1"/>
  <c r="Q7" i="3"/>
  <c r="R7" i="3" s="1"/>
  <c r="S7" i="3" s="1"/>
  <c r="N7" i="3"/>
  <c r="O7" i="3" s="1"/>
  <c r="P7" i="3" s="1"/>
  <c r="K7" i="3"/>
  <c r="L7" i="3" s="1"/>
  <c r="M7" i="3" s="1"/>
  <c r="T4" i="3"/>
  <c r="Q4" i="3"/>
  <c r="N4" i="3"/>
  <c r="K4" i="3"/>
  <c r="H4" i="3"/>
  <c r="E4" i="3"/>
  <c r="H7" i="3"/>
  <c r="I7" i="3" s="1"/>
  <c r="J7" i="3" s="1"/>
  <c r="E7" i="3"/>
  <c r="E8" i="3" l="1"/>
  <c r="F8" i="3" s="1"/>
  <c r="G8" i="3" s="1"/>
  <c r="F7" i="3"/>
  <c r="G7" i="3" s="1"/>
  <c r="K8" i="3"/>
  <c r="L8" i="3" s="1"/>
  <c r="M8" i="3" s="1"/>
  <c r="N8" i="3"/>
  <c r="Q8" i="3"/>
  <c r="R8" i="3" s="1"/>
  <c r="S8" i="3" s="1"/>
  <c r="H8" i="3"/>
  <c r="I8" i="3" s="1"/>
  <c r="J8" i="3" s="1"/>
  <c r="T8" i="3"/>
  <c r="U8" i="3" s="1"/>
  <c r="V8" i="3" s="1"/>
  <c r="E9" i="3" l="1"/>
  <c r="F9" i="3" s="1"/>
  <c r="G9" i="3" s="1"/>
  <c r="N9" i="3"/>
  <c r="O8" i="3"/>
  <c r="P8" i="3" s="1"/>
  <c r="K9" i="3"/>
  <c r="T9" i="3"/>
  <c r="U9" i="3" s="1"/>
  <c r="V9" i="3" s="1"/>
  <c r="Q9" i="3"/>
  <c r="R9" i="3" s="1"/>
  <c r="S9" i="3" s="1"/>
  <c r="H9" i="3"/>
  <c r="I9" i="3" s="1"/>
  <c r="J9" i="3" s="1"/>
  <c r="E10" i="3" l="1"/>
  <c r="F10" i="3" s="1"/>
  <c r="G10" i="3" s="1"/>
  <c r="K10" i="3"/>
  <c r="L10" i="3" s="1"/>
  <c r="M10" i="3" s="1"/>
  <c r="L9" i="3"/>
  <c r="M9" i="3" s="1"/>
  <c r="N10" i="3"/>
  <c r="O9" i="3"/>
  <c r="P9" i="3" s="1"/>
  <c r="Q10" i="3"/>
  <c r="R10" i="3" s="1"/>
  <c r="S10" i="3" s="1"/>
  <c r="T10" i="3"/>
  <c r="U10" i="3" s="1"/>
  <c r="V10" i="3" s="1"/>
  <c r="H10" i="3"/>
  <c r="I10" i="3" s="1"/>
  <c r="J10" i="3" s="1"/>
  <c r="K11" i="3"/>
  <c r="L11" i="3" s="1"/>
  <c r="M11" i="3" s="1"/>
  <c r="G4" i="4"/>
  <c r="O10" i="3" l="1"/>
  <c r="P10" i="3" s="1"/>
  <c r="N11" i="3"/>
  <c r="E11" i="3"/>
  <c r="F11" i="3" s="1"/>
  <c r="G11" i="3" s="1"/>
  <c r="T11" i="3"/>
  <c r="U11" i="3" s="1"/>
  <c r="V11" i="3" s="1"/>
  <c r="Q11" i="3"/>
  <c r="R11" i="3" s="1"/>
  <c r="S11" i="3" s="1"/>
  <c r="H11" i="3"/>
  <c r="I11" i="3" s="1"/>
  <c r="J11" i="3" s="1"/>
  <c r="K12" i="3"/>
  <c r="L12" i="3" s="1"/>
  <c r="M12" i="3" s="1"/>
  <c r="E12" i="3"/>
  <c r="F12" i="3" s="1"/>
  <c r="G12" i="3" s="1"/>
  <c r="E12" i="2"/>
  <c r="F106" i="2" s="1"/>
  <c r="O11" i="3" l="1"/>
  <c r="P11" i="3" s="1"/>
  <c r="N12" i="3"/>
  <c r="E86" i="2"/>
  <c r="E87" i="2"/>
  <c r="E90" i="2"/>
  <c r="D30" i="1" s="1"/>
  <c r="G85" i="2"/>
  <c r="G89" i="2"/>
  <c r="H29" i="1" s="1"/>
  <c r="F19" i="2"/>
  <c r="F20" i="2"/>
  <c r="D16" i="4" s="1"/>
  <c r="Q12" i="3"/>
  <c r="R12" i="3" s="1"/>
  <c r="S12" i="3" s="1"/>
  <c r="T12" i="3"/>
  <c r="U12" i="3" s="1"/>
  <c r="V12" i="3" s="1"/>
  <c r="H12" i="3"/>
  <c r="I12" i="3" s="1"/>
  <c r="J12" i="3" s="1"/>
  <c r="K13" i="3"/>
  <c r="L13" i="3" s="1"/>
  <c r="M13" i="3" s="1"/>
  <c r="E13" i="3"/>
  <c r="F13" i="3" s="1"/>
  <c r="G13" i="3" s="1"/>
  <c r="K23" i="1"/>
  <c r="H23" i="1"/>
  <c r="O12" i="3" l="1"/>
  <c r="P12" i="3" s="1"/>
  <c r="N13" i="3"/>
  <c r="T13" i="3"/>
  <c r="U13" i="3" s="1"/>
  <c r="V13" i="3" s="1"/>
  <c r="Q13" i="3"/>
  <c r="R13" i="3" s="1"/>
  <c r="S13" i="3" s="1"/>
  <c r="H13" i="3"/>
  <c r="I13" i="3" s="1"/>
  <c r="J13" i="3" s="1"/>
  <c r="K14" i="3"/>
  <c r="L14" i="3" s="1"/>
  <c r="M14" i="3" s="1"/>
  <c r="E14" i="3"/>
  <c r="F14" i="3" s="1"/>
  <c r="G14" i="3" s="1"/>
  <c r="F93" i="2"/>
  <c r="H27" i="1" s="1"/>
  <c r="D10" i="4" s="1"/>
  <c r="O13" i="3" l="1"/>
  <c r="P13" i="3" s="1"/>
  <c r="N14" i="3"/>
  <c r="Q14" i="3"/>
  <c r="R14" i="3" s="1"/>
  <c r="S14" i="3" s="1"/>
  <c r="T14" i="3"/>
  <c r="U14" i="3" s="1"/>
  <c r="V14" i="3" s="1"/>
  <c r="H14" i="3"/>
  <c r="I14" i="3" s="1"/>
  <c r="J14" i="3" s="1"/>
  <c r="K15" i="3"/>
  <c r="L15" i="3" s="1"/>
  <c r="M15" i="3" s="1"/>
  <c r="E15" i="3"/>
  <c r="F15" i="3" s="1"/>
  <c r="G15" i="3" s="1"/>
  <c r="F96" i="2"/>
  <c r="O14" i="3" l="1"/>
  <c r="P14" i="3" s="1"/>
  <c r="N15" i="3"/>
  <c r="T15" i="3"/>
  <c r="U15" i="3" s="1"/>
  <c r="V15" i="3" s="1"/>
  <c r="Q15" i="3"/>
  <c r="R15" i="3" s="1"/>
  <c r="S15" i="3" s="1"/>
  <c r="H15" i="3"/>
  <c r="I15" i="3" s="1"/>
  <c r="J15" i="3" s="1"/>
  <c r="K16" i="3"/>
  <c r="L16" i="3" s="1"/>
  <c r="M16" i="3" s="1"/>
  <c r="E16" i="3"/>
  <c r="F16" i="3" s="1"/>
  <c r="G16" i="3" s="1"/>
  <c r="H37" i="1"/>
  <c r="D28" i="1"/>
  <c r="O15" i="3" l="1"/>
  <c r="P15" i="3" s="1"/>
  <c r="N16" i="3"/>
  <c r="L37" i="1"/>
  <c r="D43" i="1" s="1"/>
  <c r="D12" i="4"/>
  <c r="Q16" i="3"/>
  <c r="R16" i="3" s="1"/>
  <c r="S16" i="3" s="1"/>
  <c r="T16" i="3"/>
  <c r="U16" i="3" s="1"/>
  <c r="V16" i="3" s="1"/>
  <c r="H16" i="3"/>
  <c r="I16" i="3" s="1"/>
  <c r="J16" i="3" s="1"/>
  <c r="K17" i="3"/>
  <c r="L17" i="3" s="1"/>
  <c r="M17" i="3" s="1"/>
  <c r="E17" i="3"/>
  <c r="F17" i="3" s="1"/>
  <c r="G17" i="3" s="1"/>
  <c r="D8" i="6"/>
  <c r="D6" i="6"/>
  <c r="E5" i="6"/>
  <c r="O16" i="3" l="1"/>
  <c r="P16" i="3" s="1"/>
  <c r="N17" i="3"/>
  <c r="T17" i="3"/>
  <c r="U17" i="3" s="1"/>
  <c r="V17" i="3" s="1"/>
  <c r="Q17" i="3"/>
  <c r="R17" i="3" s="1"/>
  <c r="S17" i="3" s="1"/>
  <c r="H17" i="3"/>
  <c r="I17" i="3" s="1"/>
  <c r="J17" i="3" s="1"/>
  <c r="K18" i="3"/>
  <c r="L18" i="3" s="1"/>
  <c r="M18" i="3" s="1"/>
  <c r="E18" i="3"/>
  <c r="F18" i="3" s="1"/>
  <c r="G18" i="3" s="1"/>
  <c r="D14" i="1"/>
  <c r="K14" i="1"/>
  <c r="O17" i="3" l="1"/>
  <c r="P17" i="3" s="1"/>
  <c r="N18" i="3"/>
  <c r="H3" i="4"/>
  <c r="H4" i="4" s="1"/>
  <c r="H14" i="1"/>
  <c r="Q18" i="3"/>
  <c r="R18" i="3" s="1"/>
  <c r="S18" i="3" s="1"/>
  <c r="T18" i="3"/>
  <c r="U18" i="3" s="1"/>
  <c r="V18" i="3" s="1"/>
  <c r="H18" i="3"/>
  <c r="I18" i="3" s="1"/>
  <c r="J18" i="3" s="1"/>
  <c r="K19" i="3"/>
  <c r="L19" i="3" s="1"/>
  <c r="M19" i="3" s="1"/>
  <c r="E19" i="3"/>
  <c r="F19" i="3" s="1"/>
  <c r="G19" i="3" s="1"/>
  <c r="D31" i="1"/>
  <c r="D6" i="4" s="1"/>
  <c r="E16" i="1"/>
  <c r="F16" i="1"/>
  <c r="G16" i="1"/>
  <c r="I16" i="1"/>
  <c r="J16" i="1"/>
  <c r="H31" i="1"/>
  <c r="D11" i="4" s="1"/>
  <c r="O18" i="3" l="1"/>
  <c r="P18" i="3" s="1"/>
  <c r="N19" i="3"/>
  <c r="T19" i="3"/>
  <c r="U19" i="3" s="1"/>
  <c r="V19" i="3" s="1"/>
  <c r="Q19" i="3"/>
  <c r="R19" i="3" s="1"/>
  <c r="S19" i="3" s="1"/>
  <c r="H19" i="3"/>
  <c r="I19" i="3" s="1"/>
  <c r="J19" i="3" s="1"/>
  <c r="K20" i="3"/>
  <c r="L20" i="3" s="1"/>
  <c r="M20" i="3" s="1"/>
  <c r="E20" i="3"/>
  <c r="F20" i="3" s="1"/>
  <c r="G20" i="3" s="1"/>
  <c r="L14" i="1"/>
  <c r="C45" i="2"/>
  <c r="D48" i="2" s="1"/>
  <c r="O19" i="3" l="1"/>
  <c r="P19" i="3" s="1"/>
  <c r="N20" i="3"/>
  <c r="Q20" i="3"/>
  <c r="R20" i="3" s="1"/>
  <c r="S20" i="3" s="1"/>
  <c r="T20" i="3"/>
  <c r="U20" i="3" s="1"/>
  <c r="V20" i="3" s="1"/>
  <c r="H20" i="3"/>
  <c r="I20" i="3" s="1"/>
  <c r="J20" i="3" s="1"/>
  <c r="K21" i="3"/>
  <c r="L21" i="3" s="1"/>
  <c r="M21" i="3" s="1"/>
  <c r="E21" i="3"/>
  <c r="F21" i="3" s="1"/>
  <c r="G21" i="3" s="1"/>
  <c r="B7" i="3"/>
  <c r="O20" i="3" l="1"/>
  <c r="P20" i="3" s="1"/>
  <c r="N21" i="3"/>
  <c r="T21" i="3"/>
  <c r="U21" i="3" s="1"/>
  <c r="V21" i="3" s="1"/>
  <c r="Q21" i="3"/>
  <c r="R21" i="3" s="1"/>
  <c r="S21" i="3" s="1"/>
  <c r="H21" i="3"/>
  <c r="I21" i="3" s="1"/>
  <c r="J21" i="3" s="1"/>
  <c r="K22" i="3"/>
  <c r="L22" i="3" s="1"/>
  <c r="M22" i="3" s="1"/>
  <c r="E22" i="3"/>
  <c r="F22" i="3" s="1"/>
  <c r="G22" i="3" s="1"/>
  <c r="B8" i="3"/>
  <c r="L23" i="1"/>
  <c r="L27" i="1"/>
  <c r="L28" i="1"/>
  <c r="L29" i="1"/>
  <c r="L30" i="1"/>
  <c r="K31" i="1"/>
  <c r="E7" i="1"/>
  <c r="E10" i="1" s="1"/>
  <c r="E11" i="1" s="1"/>
  <c r="F7" i="1"/>
  <c r="F10" i="1" s="1"/>
  <c r="F11" i="1" s="1"/>
  <c r="G7" i="1"/>
  <c r="G10" i="1" s="1"/>
  <c r="G11" i="1" s="1"/>
  <c r="H7" i="1"/>
  <c r="H10" i="1" s="1"/>
  <c r="I7" i="1"/>
  <c r="J7" i="1"/>
  <c r="J10" i="1" s="1"/>
  <c r="J11" i="1" s="1"/>
  <c r="K7" i="1"/>
  <c r="K10" i="1" s="1"/>
  <c r="D7" i="1"/>
  <c r="O21" i="3" l="1"/>
  <c r="P21" i="3" s="1"/>
  <c r="N22" i="3"/>
  <c r="Q22" i="3"/>
  <c r="R22" i="3" s="1"/>
  <c r="S22" i="3" s="1"/>
  <c r="T22" i="3"/>
  <c r="U22" i="3" s="1"/>
  <c r="V22" i="3" s="1"/>
  <c r="H22" i="3"/>
  <c r="I22" i="3" s="1"/>
  <c r="J22" i="3" s="1"/>
  <c r="K23" i="3"/>
  <c r="L23" i="3" s="1"/>
  <c r="M23" i="3" s="1"/>
  <c r="E23" i="3"/>
  <c r="F23" i="3" s="1"/>
  <c r="G23" i="3" s="1"/>
  <c r="I10" i="1"/>
  <c r="I11" i="1" s="1"/>
  <c r="H11" i="1"/>
  <c r="K11" i="1"/>
  <c r="K12" i="1" s="1"/>
  <c r="K25" i="1" s="1"/>
  <c r="L31" i="1"/>
  <c r="F17" i="1"/>
  <c r="G17" i="1"/>
  <c r="I17" i="1"/>
  <c r="J17" i="1"/>
  <c r="E17" i="1"/>
  <c r="B9" i="3"/>
  <c r="L7" i="1"/>
  <c r="D10" i="1"/>
  <c r="H24" i="1" l="1"/>
  <c r="O22" i="3"/>
  <c r="P22" i="3" s="1"/>
  <c r="N23" i="3"/>
  <c r="D11" i="1"/>
  <c r="D24" i="1"/>
  <c r="K24" i="1"/>
  <c r="K26" i="1" s="1"/>
  <c r="D15" i="4" s="1"/>
  <c r="T23" i="3"/>
  <c r="U23" i="3" s="1"/>
  <c r="V23" i="3" s="1"/>
  <c r="Q23" i="3"/>
  <c r="R23" i="3" s="1"/>
  <c r="S23" i="3" s="1"/>
  <c r="H23" i="3"/>
  <c r="I23" i="3" s="1"/>
  <c r="J23" i="3" s="1"/>
  <c r="K24" i="3"/>
  <c r="L24" i="3" s="1"/>
  <c r="M24" i="3" s="1"/>
  <c r="E24" i="3"/>
  <c r="F24" i="3" s="1"/>
  <c r="G24" i="3" s="1"/>
  <c r="H12" i="1"/>
  <c r="H25" i="1" s="1"/>
  <c r="D12" i="1"/>
  <c r="D15" i="1" s="1"/>
  <c r="K15" i="1"/>
  <c r="K13" i="1"/>
  <c r="K16" i="1"/>
  <c r="B10" i="3"/>
  <c r="K17" i="1"/>
  <c r="L10" i="1"/>
  <c r="O23" i="3" l="1"/>
  <c r="P23" i="3" s="1"/>
  <c r="N24" i="3"/>
  <c r="Q24" i="3"/>
  <c r="R24" i="3" s="1"/>
  <c r="S24" i="3" s="1"/>
  <c r="T24" i="3"/>
  <c r="U24" i="3" s="1"/>
  <c r="V24" i="3" s="1"/>
  <c r="H24" i="3"/>
  <c r="I24" i="3" s="1"/>
  <c r="J24" i="3" s="1"/>
  <c r="K25" i="3"/>
  <c r="L25" i="3" s="1"/>
  <c r="M25" i="3" s="1"/>
  <c r="E25" i="3"/>
  <c r="F25" i="3" s="1"/>
  <c r="G25" i="3" s="1"/>
  <c r="H16" i="1"/>
  <c r="H15" i="1"/>
  <c r="H13" i="1"/>
  <c r="H17" i="1"/>
  <c r="H26" i="1"/>
  <c r="B11" i="3"/>
  <c r="D13" i="1"/>
  <c r="D25" i="1"/>
  <c r="L25" i="1" s="1"/>
  <c r="K32" i="1"/>
  <c r="D16" i="1"/>
  <c r="D17" i="1"/>
  <c r="L24" i="1"/>
  <c r="K18" i="1"/>
  <c r="L11" i="1"/>
  <c r="O24" i="3" l="1"/>
  <c r="P24" i="3" s="1"/>
  <c r="N25" i="3"/>
  <c r="H32" i="1"/>
  <c r="D9" i="4"/>
  <c r="B12" i="3"/>
  <c r="T25" i="3"/>
  <c r="U25" i="3" s="1"/>
  <c r="V25" i="3" s="1"/>
  <c r="Q25" i="3"/>
  <c r="R25" i="3" s="1"/>
  <c r="S25" i="3" s="1"/>
  <c r="H25" i="3"/>
  <c r="I25" i="3" s="1"/>
  <c r="J25" i="3" s="1"/>
  <c r="K26" i="3"/>
  <c r="L26" i="3" s="1"/>
  <c r="M26" i="3" s="1"/>
  <c r="E26" i="3"/>
  <c r="F26" i="3" s="1"/>
  <c r="G26" i="3" s="1"/>
  <c r="L17" i="1"/>
  <c r="L13" i="1"/>
  <c r="L16" i="1"/>
  <c r="H18" i="1"/>
  <c r="L15" i="1"/>
  <c r="D18" i="1"/>
  <c r="D26" i="1"/>
  <c r="D5" i="4" s="1"/>
  <c r="L12" i="1"/>
  <c r="O25" i="3" l="1"/>
  <c r="P25" i="3" s="1"/>
  <c r="N26" i="3"/>
  <c r="Q26" i="3"/>
  <c r="R26" i="3" s="1"/>
  <c r="S26" i="3" s="1"/>
  <c r="T26" i="3"/>
  <c r="U26" i="3" s="1"/>
  <c r="V26" i="3" s="1"/>
  <c r="B13" i="3"/>
  <c r="H26" i="3"/>
  <c r="I26" i="3" s="1"/>
  <c r="J26" i="3" s="1"/>
  <c r="K27" i="3"/>
  <c r="L27" i="3" s="1"/>
  <c r="M27" i="3" s="1"/>
  <c r="E27" i="3"/>
  <c r="F27" i="3" s="1"/>
  <c r="G27" i="3" s="1"/>
  <c r="L18" i="1"/>
  <c r="L26" i="1"/>
  <c r="D32" i="1"/>
  <c r="L32" i="1" s="1"/>
  <c r="D42" i="1" s="1"/>
  <c r="O26" i="3" l="1"/>
  <c r="P26" i="3" s="1"/>
  <c r="N27" i="3"/>
  <c r="B14" i="3"/>
  <c r="T27" i="3"/>
  <c r="U27" i="3" s="1"/>
  <c r="V27" i="3" s="1"/>
  <c r="Q27" i="3"/>
  <c r="R27" i="3" s="1"/>
  <c r="S27" i="3" s="1"/>
  <c r="H27" i="3"/>
  <c r="I27" i="3" s="1"/>
  <c r="J27" i="3" s="1"/>
  <c r="K28" i="3"/>
  <c r="L28" i="3" s="1"/>
  <c r="M28" i="3" s="1"/>
  <c r="E28" i="3"/>
  <c r="F28" i="3" s="1"/>
  <c r="G28" i="3" s="1"/>
  <c r="B15" i="3"/>
  <c r="O27" i="3" l="1"/>
  <c r="P27" i="3" s="1"/>
  <c r="N28" i="3"/>
  <c r="Q28" i="3"/>
  <c r="R28" i="3" s="1"/>
  <c r="S28" i="3" s="1"/>
  <c r="T28" i="3"/>
  <c r="U28" i="3" s="1"/>
  <c r="V28" i="3" s="1"/>
  <c r="H28" i="3"/>
  <c r="I28" i="3" s="1"/>
  <c r="J28" i="3" s="1"/>
  <c r="K29" i="3"/>
  <c r="L29" i="3" s="1"/>
  <c r="M29" i="3" s="1"/>
  <c r="E29" i="3"/>
  <c r="F29" i="3" s="1"/>
  <c r="G29" i="3" s="1"/>
  <c r="B16" i="3"/>
  <c r="O28" i="3" l="1"/>
  <c r="P28" i="3" s="1"/>
  <c r="N29" i="3"/>
  <c r="T29" i="3"/>
  <c r="U29" i="3" s="1"/>
  <c r="V29" i="3" s="1"/>
  <c r="Q29" i="3"/>
  <c r="R29" i="3" s="1"/>
  <c r="S29" i="3" s="1"/>
  <c r="H29" i="3"/>
  <c r="I29" i="3" s="1"/>
  <c r="J29" i="3" s="1"/>
  <c r="K30" i="3"/>
  <c r="L30" i="3" s="1"/>
  <c r="M30" i="3" s="1"/>
  <c r="E30" i="3"/>
  <c r="F30" i="3" s="1"/>
  <c r="G30" i="3" s="1"/>
  <c r="B17" i="3"/>
  <c r="O29" i="3" l="1"/>
  <c r="P29" i="3" s="1"/>
  <c r="N30" i="3"/>
  <c r="Q30" i="3"/>
  <c r="R30" i="3" s="1"/>
  <c r="S30" i="3" s="1"/>
  <c r="T30" i="3"/>
  <c r="U30" i="3" s="1"/>
  <c r="V30" i="3" s="1"/>
  <c r="H30" i="3"/>
  <c r="I30" i="3" s="1"/>
  <c r="J30" i="3" s="1"/>
  <c r="K31" i="3"/>
  <c r="L31" i="3" s="1"/>
  <c r="M31" i="3" s="1"/>
  <c r="E31" i="3"/>
  <c r="F31" i="3" s="1"/>
  <c r="G31" i="3" s="1"/>
  <c r="B18" i="3"/>
  <c r="O30" i="3" l="1"/>
  <c r="P30" i="3" s="1"/>
  <c r="N31" i="3"/>
  <c r="T31" i="3"/>
  <c r="U31" i="3" s="1"/>
  <c r="V31" i="3" s="1"/>
  <c r="Q31" i="3"/>
  <c r="R31" i="3" s="1"/>
  <c r="S31" i="3" s="1"/>
  <c r="H31" i="3"/>
  <c r="I31" i="3" s="1"/>
  <c r="J31" i="3" s="1"/>
  <c r="K32" i="3"/>
  <c r="L32" i="3" s="1"/>
  <c r="M32" i="3" s="1"/>
  <c r="E32" i="3"/>
  <c r="F32" i="3" s="1"/>
  <c r="G32" i="3" s="1"/>
  <c r="B19" i="3"/>
  <c r="O31" i="3" l="1"/>
  <c r="P31" i="3" s="1"/>
  <c r="N32" i="3"/>
  <c r="Q32" i="3"/>
  <c r="R32" i="3" s="1"/>
  <c r="S32" i="3" s="1"/>
  <c r="T32" i="3"/>
  <c r="U32" i="3" s="1"/>
  <c r="V32" i="3" s="1"/>
  <c r="H32" i="3"/>
  <c r="I32" i="3" s="1"/>
  <c r="J32" i="3" s="1"/>
  <c r="K33" i="3"/>
  <c r="L33" i="3" s="1"/>
  <c r="M33" i="3" s="1"/>
  <c r="E33" i="3"/>
  <c r="F33" i="3" s="1"/>
  <c r="G33" i="3" s="1"/>
  <c r="B20" i="3"/>
  <c r="O32" i="3" l="1"/>
  <c r="P32" i="3" s="1"/>
  <c r="N33" i="3"/>
  <c r="T33" i="3"/>
  <c r="U33" i="3" s="1"/>
  <c r="V33" i="3" s="1"/>
  <c r="Q33" i="3"/>
  <c r="R33" i="3" s="1"/>
  <c r="S33" i="3" s="1"/>
  <c r="H33" i="3"/>
  <c r="I33" i="3" s="1"/>
  <c r="J33" i="3" s="1"/>
  <c r="K34" i="3"/>
  <c r="L34" i="3" s="1"/>
  <c r="M34" i="3" s="1"/>
  <c r="E34" i="3"/>
  <c r="F34" i="3" s="1"/>
  <c r="G34" i="3" s="1"/>
  <c r="B21" i="3"/>
  <c r="O33" i="3" l="1"/>
  <c r="P33" i="3" s="1"/>
  <c r="N34" i="3"/>
  <c r="Q34" i="3"/>
  <c r="R34" i="3" s="1"/>
  <c r="S34" i="3" s="1"/>
  <c r="T34" i="3"/>
  <c r="U34" i="3" s="1"/>
  <c r="V34" i="3" s="1"/>
  <c r="H34" i="3"/>
  <c r="I34" i="3" s="1"/>
  <c r="J34" i="3" s="1"/>
  <c r="K35" i="3"/>
  <c r="L35" i="3" s="1"/>
  <c r="M35" i="3" s="1"/>
  <c r="E35" i="3"/>
  <c r="F35" i="3" s="1"/>
  <c r="G35" i="3" s="1"/>
  <c r="B22" i="3"/>
  <c r="O34" i="3" l="1"/>
  <c r="P34" i="3" s="1"/>
  <c r="N35" i="3"/>
  <c r="T35" i="3"/>
  <c r="U35" i="3" s="1"/>
  <c r="V35" i="3" s="1"/>
  <c r="Q35" i="3"/>
  <c r="R35" i="3" s="1"/>
  <c r="S35" i="3" s="1"/>
  <c r="H35" i="3"/>
  <c r="I35" i="3" s="1"/>
  <c r="J35" i="3" s="1"/>
  <c r="K36" i="3"/>
  <c r="L36" i="3" s="1"/>
  <c r="M36" i="3" s="1"/>
  <c r="E36" i="3"/>
  <c r="F36" i="3" s="1"/>
  <c r="G36" i="3" s="1"/>
  <c r="B23" i="3"/>
  <c r="O35" i="3" l="1"/>
  <c r="P35" i="3" s="1"/>
  <c r="N36" i="3"/>
  <c r="Q36" i="3"/>
  <c r="R36" i="3" s="1"/>
  <c r="S36" i="3" s="1"/>
  <c r="T36" i="3"/>
  <c r="U36" i="3" s="1"/>
  <c r="V36" i="3" s="1"/>
  <c r="H36" i="3"/>
  <c r="I36" i="3" s="1"/>
  <c r="J36" i="3" s="1"/>
  <c r="K37" i="3"/>
  <c r="L37" i="3" s="1"/>
  <c r="M37" i="3" s="1"/>
  <c r="E37" i="3"/>
  <c r="F37" i="3" s="1"/>
  <c r="G37" i="3" s="1"/>
  <c r="B24" i="3"/>
  <c r="O36" i="3" l="1"/>
  <c r="P36" i="3" s="1"/>
  <c r="N37" i="3"/>
  <c r="T37" i="3"/>
  <c r="U37" i="3" s="1"/>
  <c r="V37" i="3" s="1"/>
  <c r="Q37" i="3"/>
  <c r="R37" i="3" s="1"/>
  <c r="S37" i="3" s="1"/>
  <c r="H37" i="3"/>
  <c r="I37" i="3" s="1"/>
  <c r="J37" i="3" s="1"/>
  <c r="K38" i="3"/>
  <c r="L38" i="3" s="1"/>
  <c r="M38" i="3" s="1"/>
  <c r="E38" i="3"/>
  <c r="F38" i="3" s="1"/>
  <c r="G38" i="3" s="1"/>
  <c r="B25" i="3"/>
  <c r="O37" i="3" l="1"/>
  <c r="P37" i="3" s="1"/>
  <c r="N38" i="3"/>
  <c r="Q38" i="3"/>
  <c r="R38" i="3" s="1"/>
  <c r="S38" i="3" s="1"/>
  <c r="T38" i="3"/>
  <c r="U38" i="3" s="1"/>
  <c r="V38" i="3" s="1"/>
  <c r="H38" i="3"/>
  <c r="I38" i="3" s="1"/>
  <c r="J38" i="3" s="1"/>
  <c r="K39" i="3"/>
  <c r="L39" i="3" s="1"/>
  <c r="M39" i="3" s="1"/>
  <c r="E39" i="3"/>
  <c r="F39" i="3" s="1"/>
  <c r="G39" i="3" s="1"/>
  <c r="B26" i="3"/>
  <c r="O38" i="3" l="1"/>
  <c r="P38" i="3" s="1"/>
  <c r="N39" i="3"/>
  <c r="T39" i="3"/>
  <c r="U39" i="3" s="1"/>
  <c r="V39" i="3" s="1"/>
  <c r="Q39" i="3"/>
  <c r="R39" i="3" s="1"/>
  <c r="S39" i="3" s="1"/>
  <c r="H39" i="3"/>
  <c r="I39" i="3" s="1"/>
  <c r="J39" i="3" s="1"/>
  <c r="K40" i="3"/>
  <c r="L40" i="3" s="1"/>
  <c r="M40" i="3" s="1"/>
  <c r="E40" i="3"/>
  <c r="F40" i="3" s="1"/>
  <c r="G40" i="3" s="1"/>
  <c r="B27" i="3"/>
  <c r="O39" i="3" l="1"/>
  <c r="P39" i="3" s="1"/>
  <c r="N40" i="3"/>
  <c r="Q40" i="3"/>
  <c r="R40" i="3" s="1"/>
  <c r="S40" i="3" s="1"/>
  <c r="T40" i="3"/>
  <c r="U40" i="3" s="1"/>
  <c r="V40" i="3" s="1"/>
  <c r="H40" i="3"/>
  <c r="I40" i="3" s="1"/>
  <c r="J40" i="3" s="1"/>
  <c r="K41" i="3"/>
  <c r="L41" i="3" s="1"/>
  <c r="M41" i="3" s="1"/>
  <c r="E41" i="3"/>
  <c r="F41" i="3" s="1"/>
  <c r="G41" i="3" s="1"/>
  <c r="B28" i="3"/>
  <c r="O40" i="3" l="1"/>
  <c r="P40" i="3" s="1"/>
  <c r="N41" i="3"/>
  <c r="T41" i="3"/>
  <c r="U41" i="3" s="1"/>
  <c r="V41" i="3" s="1"/>
  <c r="Q41" i="3"/>
  <c r="R41" i="3" s="1"/>
  <c r="S41" i="3" s="1"/>
  <c r="H41" i="3"/>
  <c r="I41" i="3" s="1"/>
  <c r="J41" i="3" s="1"/>
  <c r="K42" i="3"/>
  <c r="L42" i="3" s="1"/>
  <c r="M42" i="3" s="1"/>
  <c r="E42" i="3"/>
  <c r="F42" i="3" s="1"/>
  <c r="G42" i="3" s="1"/>
  <c r="B29" i="3"/>
  <c r="O41" i="3" l="1"/>
  <c r="P41" i="3" s="1"/>
  <c r="N42" i="3"/>
  <c r="Q42" i="3"/>
  <c r="R42" i="3" s="1"/>
  <c r="S42" i="3" s="1"/>
  <c r="T42" i="3"/>
  <c r="U42" i="3" s="1"/>
  <c r="V42" i="3" s="1"/>
  <c r="H42" i="3"/>
  <c r="I42" i="3" s="1"/>
  <c r="J42" i="3" s="1"/>
  <c r="K43" i="3"/>
  <c r="L43" i="3" s="1"/>
  <c r="M43" i="3" s="1"/>
  <c r="E43" i="3"/>
  <c r="F43" i="3" s="1"/>
  <c r="G43" i="3" s="1"/>
  <c r="B30" i="3"/>
  <c r="O42" i="3" l="1"/>
  <c r="P42" i="3" s="1"/>
  <c r="N43" i="3"/>
  <c r="T43" i="3"/>
  <c r="U43" i="3" s="1"/>
  <c r="V43" i="3" s="1"/>
  <c r="Q43" i="3"/>
  <c r="R43" i="3" s="1"/>
  <c r="S43" i="3" s="1"/>
  <c r="H43" i="3"/>
  <c r="I43" i="3" s="1"/>
  <c r="J43" i="3" s="1"/>
  <c r="K44" i="3"/>
  <c r="L44" i="3" s="1"/>
  <c r="M44" i="3" s="1"/>
  <c r="E44" i="3"/>
  <c r="F44" i="3" s="1"/>
  <c r="G44" i="3" s="1"/>
  <c r="B31" i="3"/>
  <c r="O43" i="3" l="1"/>
  <c r="P43" i="3" s="1"/>
  <c r="N44" i="3"/>
  <c r="Q44" i="3"/>
  <c r="R44" i="3" s="1"/>
  <c r="S44" i="3" s="1"/>
  <c r="T44" i="3"/>
  <c r="U44" i="3" s="1"/>
  <c r="V44" i="3" s="1"/>
  <c r="H44" i="3"/>
  <c r="I44" i="3" s="1"/>
  <c r="J44" i="3" s="1"/>
  <c r="K45" i="3"/>
  <c r="L45" i="3" s="1"/>
  <c r="M45" i="3" s="1"/>
  <c r="E45" i="3"/>
  <c r="F45" i="3" s="1"/>
  <c r="G45" i="3" s="1"/>
  <c r="B32" i="3"/>
  <c r="O44" i="3" l="1"/>
  <c r="P44" i="3" s="1"/>
  <c r="N45" i="3"/>
  <c r="T45" i="3"/>
  <c r="U45" i="3" s="1"/>
  <c r="V45" i="3" s="1"/>
  <c r="Q45" i="3"/>
  <c r="R45" i="3" s="1"/>
  <c r="S45" i="3" s="1"/>
  <c r="H45" i="3"/>
  <c r="I45" i="3" s="1"/>
  <c r="J45" i="3" s="1"/>
  <c r="K46" i="3"/>
  <c r="L46" i="3" s="1"/>
  <c r="M46" i="3" s="1"/>
  <c r="E46" i="3"/>
  <c r="F46" i="3" s="1"/>
  <c r="G46" i="3" s="1"/>
  <c r="B33" i="3"/>
  <c r="O45" i="3" l="1"/>
  <c r="P45" i="3" s="1"/>
  <c r="N46" i="3"/>
  <c r="Q46" i="3"/>
  <c r="R46" i="3" s="1"/>
  <c r="S46" i="3" s="1"/>
  <c r="T46" i="3"/>
  <c r="U46" i="3" s="1"/>
  <c r="V46" i="3" s="1"/>
  <c r="H46" i="3"/>
  <c r="I46" i="3" s="1"/>
  <c r="J46" i="3" s="1"/>
  <c r="K47" i="3"/>
  <c r="L47" i="3" s="1"/>
  <c r="M47" i="3" s="1"/>
  <c r="E47" i="3"/>
  <c r="F47" i="3" s="1"/>
  <c r="G47" i="3" s="1"/>
  <c r="B34" i="3"/>
  <c r="O46" i="3" l="1"/>
  <c r="P46" i="3" s="1"/>
  <c r="N47" i="3"/>
  <c r="T47" i="3"/>
  <c r="U47" i="3" s="1"/>
  <c r="V47" i="3" s="1"/>
  <c r="Q47" i="3"/>
  <c r="R47" i="3" s="1"/>
  <c r="S47" i="3" s="1"/>
  <c r="H47" i="3"/>
  <c r="I47" i="3" s="1"/>
  <c r="J47" i="3" s="1"/>
  <c r="K48" i="3"/>
  <c r="L48" i="3" s="1"/>
  <c r="M48" i="3" s="1"/>
  <c r="E48" i="3"/>
  <c r="F48" i="3" s="1"/>
  <c r="G48" i="3" s="1"/>
  <c r="B35" i="3"/>
  <c r="O47" i="3" l="1"/>
  <c r="P47" i="3" s="1"/>
  <c r="N48" i="3"/>
  <c r="Q48" i="3"/>
  <c r="R48" i="3" s="1"/>
  <c r="S48" i="3" s="1"/>
  <c r="T48" i="3"/>
  <c r="U48" i="3" s="1"/>
  <c r="V48" i="3" s="1"/>
  <c r="H48" i="3"/>
  <c r="I48" i="3" s="1"/>
  <c r="J48" i="3" s="1"/>
  <c r="K49" i="3"/>
  <c r="L49" i="3" s="1"/>
  <c r="M49" i="3" s="1"/>
  <c r="E49" i="3"/>
  <c r="F49" i="3" s="1"/>
  <c r="G49" i="3" s="1"/>
  <c r="B36" i="3"/>
  <c r="O48" i="3" l="1"/>
  <c r="P48" i="3" s="1"/>
  <c r="N49" i="3"/>
  <c r="T49" i="3"/>
  <c r="U49" i="3" s="1"/>
  <c r="V49" i="3" s="1"/>
  <c r="Q49" i="3"/>
  <c r="R49" i="3" s="1"/>
  <c r="S49" i="3" s="1"/>
  <c r="H49" i="3"/>
  <c r="I49" i="3" s="1"/>
  <c r="J49" i="3" s="1"/>
  <c r="K50" i="3"/>
  <c r="L50" i="3" s="1"/>
  <c r="M50" i="3" s="1"/>
  <c r="E50" i="3"/>
  <c r="F50" i="3" s="1"/>
  <c r="G50" i="3" s="1"/>
  <c r="B37" i="3"/>
  <c r="O49" i="3" l="1"/>
  <c r="P49" i="3" s="1"/>
  <c r="N50" i="3"/>
  <c r="Q50" i="3"/>
  <c r="R50" i="3" s="1"/>
  <c r="S50" i="3" s="1"/>
  <c r="T50" i="3"/>
  <c r="U50" i="3" s="1"/>
  <c r="V50" i="3" s="1"/>
  <c r="H50" i="3"/>
  <c r="I50" i="3" s="1"/>
  <c r="J50" i="3" s="1"/>
  <c r="K51" i="3"/>
  <c r="L51" i="3" s="1"/>
  <c r="M51" i="3" s="1"/>
  <c r="E51" i="3"/>
  <c r="F51" i="3" s="1"/>
  <c r="G51" i="3" s="1"/>
  <c r="B38" i="3"/>
  <c r="O50" i="3" l="1"/>
  <c r="P50" i="3" s="1"/>
  <c r="N51" i="3"/>
  <c r="T51" i="3"/>
  <c r="U51" i="3" s="1"/>
  <c r="V51" i="3" s="1"/>
  <c r="Q51" i="3"/>
  <c r="R51" i="3" s="1"/>
  <c r="S51" i="3" s="1"/>
  <c r="H51" i="3"/>
  <c r="I51" i="3" s="1"/>
  <c r="J51" i="3" s="1"/>
  <c r="K52" i="3"/>
  <c r="E52" i="3"/>
  <c r="F52" i="3" s="1"/>
  <c r="G52" i="3" s="1"/>
  <c r="B39" i="3"/>
  <c r="K53" i="3" l="1"/>
  <c r="L53" i="3" s="1"/>
  <c r="M53" i="3" s="1"/>
  <c r="L52" i="3"/>
  <c r="M52" i="3" s="1"/>
  <c r="O51" i="3"/>
  <c r="P51" i="3" s="1"/>
  <c r="N52" i="3"/>
  <c r="E53" i="3"/>
  <c r="F53" i="3" s="1"/>
  <c r="G53" i="3" s="1"/>
  <c r="K54" i="3"/>
  <c r="L54" i="3" s="1"/>
  <c r="M54" i="3" s="1"/>
  <c r="Q52" i="3"/>
  <c r="T52" i="3"/>
  <c r="H52" i="3"/>
  <c r="B40" i="3"/>
  <c r="Q53" i="3" l="1"/>
  <c r="R53" i="3" s="1"/>
  <c r="S53" i="3" s="1"/>
  <c r="R52" i="3"/>
  <c r="S52" i="3" s="1"/>
  <c r="N53" i="3"/>
  <c r="O52" i="3"/>
  <c r="P52" i="3" s="1"/>
  <c r="H53" i="3"/>
  <c r="I53" i="3" s="1"/>
  <c r="J53" i="3" s="1"/>
  <c r="I52" i="3"/>
  <c r="J52" i="3" s="1"/>
  <c r="T53" i="3"/>
  <c r="U53" i="3" s="1"/>
  <c r="V53" i="3" s="1"/>
  <c r="U52" i="3"/>
  <c r="V52" i="3" s="1"/>
  <c r="Q54" i="3"/>
  <c r="R54" i="3" s="1"/>
  <c r="S54" i="3" s="1"/>
  <c r="K55" i="3"/>
  <c r="L55" i="3" s="1"/>
  <c r="M55" i="3" s="1"/>
  <c r="E54" i="3"/>
  <c r="F54" i="3" s="1"/>
  <c r="G54" i="3" s="1"/>
  <c r="B41" i="3"/>
  <c r="H54" i="3" l="1"/>
  <c r="I54" i="3" s="1"/>
  <c r="J54" i="3" s="1"/>
  <c r="O53" i="3"/>
  <c r="P53" i="3" s="1"/>
  <c r="N54" i="3"/>
  <c r="T54" i="3"/>
  <c r="U54" i="3" s="1"/>
  <c r="V54" i="3" s="1"/>
  <c r="K56" i="3"/>
  <c r="L56" i="3" s="1"/>
  <c r="M56" i="3" s="1"/>
  <c r="H55" i="3"/>
  <c r="I55" i="3" s="1"/>
  <c r="J55" i="3" s="1"/>
  <c r="E55" i="3"/>
  <c r="F55" i="3" s="1"/>
  <c r="G55" i="3" s="1"/>
  <c r="Q55" i="3"/>
  <c r="R55" i="3" s="1"/>
  <c r="S55" i="3" s="1"/>
  <c r="B42" i="3"/>
  <c r="O54" i="3" l="1"/>
  <c r="P54" i="3" s="1"/>
  <c r="N55" i="3"/>
  <c r="T55" i="3"/>
  <c r="U55" i="3" s="1"/>
  <c r="V55" i="3" s="1"/>
  <c r="E56" i="3"/>
  <c r="F56" i="3" s="1"/>
  <c r="G56" i="3" s="1"/>
  <c r="Q56" i="3"/>
  <c r="R56" i="3" s="1"/>
  <c r="S56" i="3" s="1"/>
  <c r="H56" i="3"/>
  <c r="I56" i="3" s="1"/>
  <c r="J56" i="3" s="1"/>
  <c r="T56" i="3"/>
  <c r="U56" i="3" s="1"/>
  <c r="V56" i="3" s="1"/>
  <c r="K57" i="3"/>
  <c r="L57" i="3" s="1"/>
  <c r="M57" i="3" s="1"/>
  <c r="B43" i="3"/>
  <c r="O55" i="3" l="1"/>
  <c r="P55" i="3" s="1"/>
  <c r="N56" i="3"/>
  <c r="H57" i="3"/>
  <c r="I57" i="3" s="1"/>
  <c r="J57" i="3" s="1"/>
  <c r="Q57" i="3"/>
  <c r="R57" i="3" s="1"/>
  <c r="S57" i="3" s="1"/>
  <c r="K58" i="3"/>
  <c r="L58" i="3" s="1"/>
  <c r="M58" i="3" s="1"/>
  <c r="M59" i="3" s="1"/>
  <c r="T57" i="3"/>
  <c r="U57" i="3" s="1"/>
  <c r="V57" i="3" s="1"/>
  <c r="E57" i="3"/>
  <c r="F57" i="3" s="1"/>
  <c r="G57" i="3" s="1"/>
  <c r="B44" i="3"/>
  <c r="O56" i="3" l="1"/>
  <c r="P56" i="3" s="1"/>
  <c r="N57" i="3"/>
  <c r="E58" i="3"/>
  <c r="F58" i="3" s="1"/>
  <c r="G58" i="3" s="1"/>
  <c r="T58" i="3"/>
  <c r="U58" i="3" s="1"/>
  <c r="V58" i="3" s="1"/>
  <c r="Q58" i="3"/>
  <c r="R58" i="3" s="1"/>
  <c r="S58" i="3" s="1"/>
  <c r="H58" i="3"/>
  <c r="I58" i="3" s="1"/>
  <c r="J58" i="3" s="1"/>
  <c r="B45" i="3"/>
  <c r="O57" i="3" l="1"/>
  <c r="P57" i="3" s="1"/>
  <c r="N58" i="3"/>
  <c r="V59" i="3"/>
  <c r="S59" i="3"/>
  <c r="G59" i="3"/>
  <c r="J59" i="3"/>
  <c r="B46" i="3"/>
  <c r="O58" i="3" l="1"/>
  <c r="P58" i="3" s="1"/>
  <c r="P59" i="3" s="1"/>
  <c r="B47" i="3"/>
  <c r="B48" i="3" l="1"/>
  <c r="B49" i="3" l="1"/>
  <c r="B50" i="3" l="1"/>
  <c r="B51" i="3" l="1"/>
  <c r="B52" i="3" l="1"/>
  <c r="B53" i="3" l="1"/>
  <c r="B54" i="3" l="1"/>
  <c r="B55" i="3" l="1"/>
  <c r="B56" i="3" l="1"/>
  <c r="B57" i="3" l="1"/>
  <c r="B58" i="3" l="1"/>
  <c r="E8" i="2" l="1"/>
  <c r="E9" i="2" l="1"/>
  <c r="D14" i="4"/>
  <c r="D13" i="4" s="1"/>
  <c r="D4" i="4"/>
  <c r="D3" i="4" s="1"/>
  <c r="D8" i="4"/>
  <c r="D7" i="4" s="1"/>
  <c r="D41" i="1"/>
  <c r="D44" i="1" s="1"/>
  <c r="D48" i="1" l="1"/>
  <c r="D47" i="1"/>
  <c r="G15" i="6"/>
  <c r="F16" i="6"/>
  <c r="G14" i="6"/>
  <c r="D17" i="4"/>
  <c r="F5" i="6" s="1"/>
  <c r="G16" i="6"/>
  <c r="F14" i="6"/>
  <c r="F15" i="6"/>
  <c r="G5" i="6" l="1"/>
  <c r="G9" i="6"/>
  <c r="G10" i="6"/>
  <c r="G12" i="6"/>
  <c r="F12" i="6"/>
  <c r="F7" i="6"/>
  <c r="G7" i="6"/>
  <c r="G8" i="6"/>
  <c r="F8" i="6"/>
  <c r="G6" i="6"/>
  <c r="F6" i="6"/>
  <c r="F13" i="6"/>
  <c r="G13" i="6"/>
  <c r="F9" i="6"/>
  <c r="F11" i="6"/>
  <c r="G11" i="6"/>
  <c r="F10" i="6"/>
  <c r="K14" i="6"/>
  <c r="J16" i="6"/>
  <c r="K15" i="6"/>
  <c r="K16" i="6"/>
  <c r="J14" i="6"/>
  <c r="J15" i="6"/>
  <c r="H10" i="6" l="1"/>
  <c r="J11" i="6"/>
  <c r="K10" i="6"/>
  <c r="I7" i="6"/>
  <c r="H8" i="6"/>
  <c r="K11" i="6"/>
  <c r="H11" i="6"/>
  <c r="J9" i="6"/>
  <c r="K6" i="6"/>
  <c r="I11" i="6"/>
  <c r="I6" i="6"/>
  <c r="J7" i="6"/>
  <c r="K9" i="6"/>
  <c r="K8" i="6"/>
  <c r="I5" i="6"/>
  <c r="J12" i="6"/>
  <c r="I8" i="6"/>
  <c r="K13" i="6"/>
  <c r="J10" i="6"/>
  <c r="H9" i="6"/>
  <c r="H6" i="6"/>
  <c r="I9" i="6"/>
  <c r="K7" i="6"/>
  <c r="J8" i="6"/>
  <c r="I13" i="6"/>
  <c r="H13" i="6"/>
  <c r="J13" i="6"/>
  <c r="I10" i="6"/>
  <c r="H7" i="6"/>
  <c r="H12" i="6"/>
  <c r="J6" i="6"/>
  <c r="J5" i="6"/>
  <c r="H5" i="6"/>
  <c r="K5" i="6"/>
  <c r="K12" i="6"/>
  <c r="I12" i="6"/>
  <c r="I14" i="6"/>
  <c r="H14" i="6"/>
  <c r="I15" i="6" l="1"/>
  <c r="H15" i="6"/>
  <c r="I16" i="6" l="1"/>
  <c r="H16" i="6"/>
</calcChain>
</file>

<file path=xl/sharedStrings.xml><?xml version="1.0" encoding="utf-8"?>
<sst xmlns="http://schemas.openxmlformats.org/spreadsheetml/2006/main" count="341" uniqueCount="167">
  <si>
    <t>Direct materials</t>
  </si>
  <si>
    <t>Construction</t>
  </si>
  <si>
    <t>Direct Field Cost</t>
  </si>
  <si>
    <t>Other costs</t>
  </si>
  <si>
    <t>EPC services</t>
  </si>
  <si>
    <t>Total installed cost</t>
  </si>
  <si>
    <t>Total plant cost</t>
  </si>
  <si>
    <t>Absorber section</t>
  </si>
  <si>
    <t>Regeneration section</t>
  </si>
  <si>
    <t>Power plant</t>
  </si>
  <si>
    <t>Cooling towers</t>
  </si>
  <si>
    <t>Waste water treatment</t>
  </si>
  <si>
    <t>Interconnecting</t>
  </si>
  <si>
    <t>Flue gas desulph. unit</t>
  </si>
  <si>
    <t>Total cost</t>
  </si>
  <si>
    <t>Total capital requirement</t>
  </si>
  <si>
    <t>Total annual operating cost</t>
  </si>
  <si>
    <t>Annual fixed operating cost</t>
  </si>
  <si>
    <t>Annual variable operating cost</t>
  </si>
  <si>
    <t>Annualized CAPEX</t>
  </si>
  <si>
    <t>Annual OPEX</t>
  </si>
  <si>
    <t>Annualized total cost</t>
  </si>
  <si>
    <t>Year</t>
  </si>
  <si>
    <t>Value</t>
  </si>
  <si>
    <t>Discounted value</t>
  </si>
  <si>
    <t>Number of years of operation</t>
  </si>
  <si>
    <t>Discount rate</t>
  </si>
  <si>
    <t>Reference year</t>
  </si>
  <si>
    <t>%</t>
  </si>
  <si>
    <t>-</t>
  </si>
  <si>
    <t>Annualization factor</t>
  </si>
  <si>
    <t>Allocation</t>
  </si>
  <si>
    <t>Contingencies</t>
  </si>
  <si>
    <t>Interest during construction</t>
  </si>
  <si>
    <t>CAPEX</t>
  </si>
  <si>
    <t>Fixed OPEX</t>
  </si>
  <si>
    <t>Variable OPEX</t>
  </si>
  <si>
    <t>Total</t>
  </si>
  <si>
    <t>Utilities</t>
  </si>
  <si>
    <t>Labour cost</t>
  </si>
  <si>
    <t>Annual maintenance</t>
  </si>
  <si>
    <t>Other</t>
  </si>
  <si>
    <t>Natural gas consumption</t>
  </si>
  <si>
    <t>Chemical and catalyst</t>
  </si>
  <si>
    <t>Raw process water (make-up)</t>
  </si>
  <si>
    <t>Waste disposal</t>
  </si>
  <si>
    <t>%TPC</t>
  </si>
  <si>
    <t>Owner cost</t>
  </si>
  <si>
    <t>Overnight factor</t>
  </si>
  <si>
    <t>Maintenance and operating support labor cost</t>
  </si>
  <si>
    <t>months to include trainings</t>
  </si>
  <si>
    <t>months</t>
  </si>
  <si>
    <t>Fuel cost</t>
  </si>
  <si>
    <t>% full load for 1 month</t>
  </si>
  <si>
    <t>Modifications</t>
  </si>
  <si>
    <t>Maintenance materials, chemical, consumables and disposal costs</t>
  </si>
  <si>
    <t>Spare parts</t>
  </si>
  <si>
    <t>Inventory of fuel and chemicals</t>
  </si>
  <si>
    <t>Start-up cost</t>
  </si>
  <si>
    <t>Allocation of construction costs</t>
  </si>
  <si>
    <t>Cooling tower and waste water treatment</t>
  </si>
  <si>
    <t>Interconnected</t>
  </si>
  <si>
    <t>Annual material maintenance cost</t>
  </si>
  <si>
    <t>Share annual material maintenance cost in the overall annual maintenance cost</t>
  </si>
  <si>
    <t>Other fixed cost</t>
  </si>
  <si>
    <t>Natural gas cost</t>
  </si>
  <si>
    <t>Calcium carbonate cost</t>
  </si>
  <si>
    <t>Pure MEA solvent cost</t>
  </si>
  <si>
    <t>Molecular sieve adsorbant cost</t>
  </si>
  <si>
    <t>Raw process water make-up cost</t>
  </si>
  <si>
    <t>MEA sludge disposal cost</t>
  </si>
  <si>
    <t>$/GJ</t>
  </si>
  <si>
    <t>$/t</t>
  </si>
  <si>
    <t>Molecular sieve adsorbant disposal cost</t>
  </si>
  <si>
    <t>Average fully burdened salary</t>
  </si>
  <si>
    <t>$/y</t>
  </si>
  <si>
    <t>Overall CAPEX (k$)</t>
  </si>
  <si>
    <t>Data for calculation of CAPEX</t>
  </si>
  <si>
    <t>Data for calculation of annual fixed OPEX</t>
  </si>
  <si>
    <t>Data for calculation of annual variable OPEX</t>
  </si>
  <si>
    <r>
      <t>CO</t>
    </r>
    <r>
      <rPr>
        <vertAlign val="subscript"/>
        <sz val="11"/>
        <color rgb="FF006100"/>
        <rFont val="Calibri"/>
        <family val="2"/>
        <scheme val="minor"/>
      </rPr>
      <t>2</t>
    </r>
    <r>
      <rPr>
        <sz val="11"/>
        <color rgb="FF006100"/>
        <rFont val="Calibri"/>
        <family val="2"/>
        <scheme val="minor"/>
      </rPr>
      <t xml:space="preserve"> capture and conditioning</t>
    </r>
  </si>
  <si>
    <t>Annual overall maintenance cost</t>
  </si>
  <si>
    <t>Annual OPEX (k$/y)</t>
  </si>
  <si>
    <t>Project valuation</t>
  </si>
  <si>
    <t>OPEX</t>
  </si>
  <si>
    <t>Variation range</t>
  </si>
  <si>
    <t>Project contingencies</t>
  </si>
  <si>
    <r>
      <t>CO</t>
    </r>
    <r>
      <rPr>
        <b/>
        <vertAlign val="subscript"/>
        <sz val="11"/>
        <color theme="0"/>
        <rFont val="Calibri"/>
        <family val="2"/>
        <scheme val="minor"/>
      </rPr>
      <t>2</t>
    </r>
    <r>
      <rPr>
        <b/>
        <sz val="11"/>
        <color theme="0"/>
        <rFont val="Calibri"/>
        <family val="2"/>
        <scheme val="minor"/>
      </rPr>
      <t xml:space="preserve"> capture and compression</t>
    </r>
  </si>
  <si>
    <r>
      <t>CO</t>
    </r>
    <r>
      <rPr>
        <vertAlign val="subscript"/>
        <sz val="11"/>
        <color theme="0"/>
        <rFont val="Calibri"/>
        <family val="2"/>
        <scheme val="minor"/>
      </rPr>
      <t>2</t>
    </r>
    <r>
      <rPr>
        <sz val="11"/>
        <color theme="0"/>
        <rFont val="Calibri"/>
        <family val="2"/>
        <scheme val="minor"/>
      </rPr>
      <t xml:space="preserve"> compression</t>
    </r>
  </si>
  <si>
    <t>$/MWh</t>
  </si>
  <si>
    <t>Valorisation of excess power</t>
  </si>
  <si>
    <t>Data for valorisation of excess power</t>
  </si>
  <si>
    <t>Revenues</t>
  </si>
  <si>
    <r>
      <t>Annual amount of CO</t>
    </r>
    <r>
      <rPr>
        <vertAlign val="subscript"/>
        <sz val="11"/>
        <color rgb="FF006100"/>
        <rFont val="Calibri"/>
        <family val="2"/>
        <scheme val="minor"/>
      </rPr>
      <t>2</t>
    </r>
    <r>
      <rPr>
        <sz val="11"/>
        <color rgb="FF006100"/>
        <rFont val="Calibri"/>
        <family val="2"/>
        <scheme val="minor"/>
      </rPr>
      <t xml:space="preserve"> captured</t>
    </r>
  </si>
  <si>
    <r>
      <t>Annual amount of CO</t>
    </r>
    <r>
      <rPr>
        <vertAlign val="subscript"/>
        <sz val="11"/>
        <color rgb="FF006100"/>
        <rFont val="Calibri"/>
        <family val="2"/>
        <scheme val="minor"/>
      </rPr>
      <t>2</t>
    </r>
    <r>
      <rPr>
        <sz val="11"/>
        <color rgb="FF006100"/>
        <rFont val="Calibri"/>
        <family val="2"/>
        <scheme val="minor"/>
      </rPr>
      <t xml:space="preserve"> avoided</t>
    </r>
  </si>
  <si>
    <r>
      <t>kt</t>
    </r>
    <r>
      <rPr>
        <vertAlign val="subscript"/>
        <sz val="11"/>
        <color rgb="FF006100"/>
        <rFont val="Calibri"/>
        <family val="2"/>
        <scheme val="minor"/>
      </rPr>
      <t>CO2</t>
    </r>
    <r>
      <rPr>
        <sz val="11"/>
        <color rgb="FF006100"/>
        <rFont val="Calibri"/>
        <family val="2"/>
        <scheme val="minor"/>
      </rPr>
      <t>/y</t>
    </r>
  </si>
  <si>
    <t>Number of operating hours</t>
  </si>
  <si>
    <r>
      <t>t</t>
    </r>
    <r>
      <rPr>
        <vertAlign val="subscript"/>
        <sz val="11"/>
        <color rgb="FF006100"/>
        <rFont val="Calibri"/>
        <family val="2"/>
        <scheme val="minor"/>
      </rPr>
      <t>CO2</t>
    </r>
    <r>
      <rPr>
        <sz val="11"/>
        <color rgb="FF006100"/>
        <rFont val="Calibri"/>
        <family val="2"/>
        <scheme val="minor"/>
      </rPr>
      <t>/h</t>
    </r>
  </si>
  <si>
    <r>
      <t>Amount of CO</t>
    </r>
    <r>
      <rPr>
        <vertAlign val="subscript"/>
        <sz val="11"/>
        <color rgb="FF006100"/>
        <rFont val="Calibri"/>
        <family val="2"/>
        <scheme val="minor"/>
      </rPr>
      <t>2</t>
    </r>
    <r>
      <rPr>
        <sz val="11"/>
        <color rgb="FF006100"/>
        <rFont val="Calibri"/>
        <family val="2"/>
        <scheme val="minor"/>
      </rPr>
      <t xml:space="preserve"> emitted by power plant</t>
    </r>
  </si>
  <si>
    <t>h</t>
  </si>
  <si>
    <r>
      <t>CO</t>
    </r>
    <r>
      <rPr>
        <b/>
        <u/>
        <vertAlign val="subscript"/>
        <sz val="11"/>
        <color theme="1"/>
        <rFont val="Calibri"/>
        <family val="2"/>
        <scheme val="minor"/>
      </rPr>
      <t>2</t>
    </r>
    <r>
      <rPr>
        <b/>
        <u/>
        <sz val="11"/>
        <color theme="1"/>
        <rFont val="Calibri"/>
        <family val="2"/>
        <scheme val="minor"/>
      </rPr>
      <t xml:space="preserve"> captured and avoided streams</t>
    </r>
  </si>
  <si>
    <t>Total number of employees</t>
  </si>
  <si>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CO2,avoided</t>
    </r>
    <r>
      <rPr>
        <b/>
        <sz val="11"/>
        <color theme="0"/>
        <rFont val="Calibri"/>
        <family val="2"/>
        <scheme val="minor"/>
      </rPr>
      <t>)</t>
    </r>
  </si>
  <si>
    <t>Average annual utilisation rate</t>
  </si>
  <si>
    <t>%TCR/y</t>
  </si>
  <si>
    <t>%TIC</t>
  </si>
  <si>
    <t>Yes</t>
  </si>
  <si>
    <t>No</t>
  </si>
  <si>
    <t>Natural gas minus excess power revenues</t>
  </si>
  <si>
    <r>
      <t>CO</t>
    </r>
    <r>
      <rPr>
        <vertAlign val="subscript"/>
        <sz val="11"/>
        <color rgb="FF006100"/>
        <rFont val="Calibri"/>
        <family val="2"/>
        <scheme val="minor"/>
      </rPr>
      <t>2</t>
    </r>
    <r>
      <rPr>
        <sz val="11"/>
        <color rgb="FF006100"/>
        <rFont val="Calibri"/>
        <family val="2"/>
        <scheme val="minor"/>
      </rPr>
      <t xml:space="preserve"> capture and compression</t>
    </r>
  </si>
  <si>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CO2,captured</t>
    </r>
    <r>
      <rPr>
        <b/>
        <sz val="11"/>
        <color theme="0"/>
        <rFont val="Calibri"/>
        <family val="2"/>
        <scheme val="minor"/>
      </rPr>
      <t>)</t>
    </r>
  </si>
  <si>
    <t>Other variable OPEX</t>
  </si>
  <si>
    <t xml:space="preserve">Other variable OPEX </t>
  </si>
  <si>
    <t>Project duration</t>
  </si>
  <si>
    <t>Utilisation rate</t>
  </si>
  <si>
    <t>y</t>
  </si>
  <si>
    <t>Project duration (y)</t>
  </si>
  <si>
    <t>Discount rate (%)</t>
  </si>
  <si>
    <t>Utilisation rate (%)</t>
  </si>
  <si>
    <r>
      <t>Amount of CO</t>
    </r>
    <r>
      <rPr>
        <vertAlign val="subscript"/>
        <sz val="11"/>
        <color rgb="FF006100"/>
        <rFont val="Calibri"/>
        <family val="2"/>
        <scheme val="minor"/>
      </rPr>
      <t>2</t>
    </r>
    <r>
      <rPr>
        <sz val="11"/>
        <color rgb="FF006100"/>
        <rFont val="Calibri"/>
        <family val="2"/>
        <scheme val="minor"/>
      </rPr>
      <t xml:space="preserve"> captured</t>
    </r>
  </si>
  <si>
    <t>Sum</t>
  </si>
  <si>
    <t>Variation ranges (%)</t>
  </si>
  <si>
    <r>
      <t>Impact of variations ($/t</t>
    </r>
    <r>
      <rPr>
        <vertAlign val="subscript"/>
        <sz val="11"/>
        <color rgb="FF006100"/>
        <rFont val="Calibri"/>
        <family val="2"/>
        <scheme val="minor"/>
      </rPr>
      <t>CO2,avoided</t>
    </r>
    <r>
      <rPr>
        <sz val="11"/>
        <color rgb="FF006100"/>
        <rFont val="Calibri"/>
        <family val="2"/>
        <scheme val="minor"/>
      </rPr>
      <t>)</t>
    </r>
  </si>
  <si>
    <t>Low</t>
  </si>
  <si>
    <t>High</t>
  </si>
  <si>
    <r>
      <t>Sensitivity analyses on cost of retrofitting CO</t>
    </r>
    <r>
      <rPr>
        <b/>
        <u/>
        <vertAlign val="subscript"/>
        <sz val="11"/>
        <color theme="1"/>
        <rFont val="Calibri"/>
        <family val="2"/>
        <scheme val="minor"/>
      </rPr>
      <t>2</t>
    </r>
    <r>
      <rPr>
        <b/>
        <u/>
        <sz val="11"/>
        <color theme="1"/>
        <rFont val="Calibri"/>
        <family val="2"/>
        <scheme val="minor"/>
      </rPr>
      <t xml:space="preserve"> capture</t>
    </r>
  </si>
  <si>
    <r>
      <t>Impact of variations (%</t>
    </r>
    <r>
      <rPr>
        <sz val="11"/>
        <color rgb="FF006100"/>
        <rFont val="Calibri"/>
        <family val="2"/>
        <scheme val="minor"/>
      </rPr>
      <t>)</t>
    </r>
  </si>
  <si>
    <r>
      <t>Cost of retrofitting CO</t>
    </r>
    <r>
      <rPr>
        <b/>
        <vertAlign val="subscript"/>
        <sz val="10"/>
        <color theme="0"/>
        <rFont val="Calibri"/>
        <family val="2"/>
        <scheme val="minor"/>
      </rPr>
      <t>2</t>
    </r>
    <r>
      <rPr>
        <b/>
        <sz val="10"/>
        <color theme="0"/>
        <rFont val="Calibri"/>
        <family val="2"/>
        <scheme val="minor"/>
      </rPr>
      <t xml:space="preserve"> capture ($/t</t>
    </r>
    <r>
      <rPr>
        <b/>
        <vertAlign val="subscript"/>
        <sz val="10"/>
        <color theme="0"/>
        <rFont val="Calibri"/>
        <family val="2"/>
        <scheme val="minor"/>
      </rPr>
      <t>CO2,avoided</t>
    </r>
    <r>
      <rPr>
        <b/>
        <sz val="10"/>
        <color theme="0"/>
        <rFont val="Calibri"/>
        <family val="2"/>
        <scheme val="minor"/>
      </rPr>
      <t>)</t>
    </r>
  </si>
  <si>
    <r>
      <t>CO</t>
    </r>
    <r>
      <rPr>
        <vertAlign val="subscript"/>
        <sz val="10"/>
        <color theme="0"/>
        <rFont val="Calibri"/>
        <family val="2"/>
        <scheme val="minor"/>
      </rPr>
      <t>2</t>
    </r>
    <r>
      <rPr>
        <sz val="10"/>
        <color theme="0"/>
        <rFont val="Calibri"/>
        <family val="2"/>
        <scheme val="minor"/>
      </rPr>
      <t xml:space="preserve"> capture and compression</t>
    </r>
  </si>
  <si>
    <t>Project valuation data</t>
  </si>
  <si>
    <t>Variation ranges to be considered for the sensitivity analyses</t>
  </si>
  <si>
    <t>Input costs for CAPEX calculations</t>
  </si>
  <si>
    <t>Evaluation of Total Capital Requirement (TCR)</t>
  </si>
  <si>
    <t>Utilities and materials cost</t>
  </si>
  <si>
    <r>
      <t>CO</t>
    </r>
    <r>
      <rPr>
        <vertAlign val="subscript"/>
        <sz val="11"/>
        <color rgb="FF006100"/>
        <rFont val="Calibri"/>
        <family val="2"/>
        <scheme val="minor"/>
      </rPr>
      <t>2</t>
    </r>
    <r>
      <rPr>
        <sz val="11"/>
        <color rgb="FF006100"/>
        <rFont val="Calibri"/>
        <family val="2"/>
        <scheme val="minor"/>
      </rPr>
      <t xml:space="preserve"> compression</t>
    </r>
  </si>
  <si>
    <r>
      <t>CO</t>
    </r>
    <r>
      <rPr>
        <b/>
        <vertAlign val="subscript"/>
        <sz val="11"/>
        <color rgb="FF006100"/>
        <rFont val="Calibri"/>
        <family val="2"/>
        <scheme val="minor"/>
      </rPr>
      <t>2</t>
    </r>
    <r>
      <rPr>
        <b/>
        <sz val="11"/>
        <color rgb="FF006100"/>
        <rFont val="Calibri"/>
        <family val="2"/>
        <scheme val="minor"/>
      </rPr>
      <t xml:space="preserve"> capture and compression</t>
    </r>
  </si>
  <si>
    <t>GJ/h</t>
  </si>
  <si>
    <t>Calcium carbonate</t>
  </si>
  <si>
    <t>t/h</t>
  </si>
  <si>
    <t>Pure MEA solvent</t>
  </si>
  <si>
    <t>kg/h</t>
  </si>
  <si>
    <t>Raw process water make-up</t>
  </si>
  <si>
    <t>MEA sludge disposal</t>
  </si>
  <si>
    <t>GJ/y</t>
  </si>
  <si>
    <t>t/y</t>
  </si>
  <si>
    <t>Molecular sieve adsorbant</t>
  </si>
  <si>
    <t>Utilities consumption and sludge disposal</t>
  </si>
  <si>
    <t>Material annual replacement</t>
  </si>
  <si>
    <t>Considering of excess power valorisation?</t>
  </si>
  <si>
    <t>MW</t>
  </si>
  <si>
    <t>MWh/y</t>
  </si>
  <si>
    <t>Amount of excess power</t>
  </si>
  <si>
    <t>Excess Electricity economic value</t>
  </si>
  <si>
    <t>Amount of excess electricity surplus</t>
  </si>
  <si>
    <t>Considered values</t>
  </si>
  <si>
    <t>Real discount rate</t>
  </si>
  <si>
    <t>Steam consumption</t>
  </si>
  <si>
    <t>CHP plant CAPEX</t>
  </si>
  <si>
    <t>Variation</t>
  </si>
  <si>
    <r>
      <t>Shared of Natural gas consumption linked to steam production for CO</t>
    </r>
    <r>
      <rPr>
        <vertAlign val="subscript"/>
        <sz val="11"/>
        <color rgb="FF006100"/>
        <rFont val="Calibri"/>
        <family val="2"/>
        <scheme val="minor"/>
      </rPr>
      <t>2</t>
    </r>
    <r>
      <rPr>
        <sz val="11"/>
        <color rgb="FF006100"/>
        <rFont val="Calibri"/>
        <family val="2"/>
        <scheme val="minor"/>
      </rPr>
      <t xml:space="preserve"> stripping</t>
    </r>
  </si>
  <si>
    <t>Minimum value</t>
  </si>
  <si>
    <t>Annualization percentage</t>
  </si>
  <si>
    <r>
      <rPr>
        <u/>
        <sz val="11"/>
        <color theme="1"/>
        <rFont val="Calibri"/>
        <family val="2"/>
        <scheme val="minor"/>
      </rPr>
      <t>NB:</t>
    </r>
    <r>
      <rPr>
        <sz val="11"/>
        <color theme="1"/>
        <rFont val="Calibri"/>
        <family val="2"/>
        <scheme val="minor"/>
      </rPr>
      <t xml:space="preserve"> Correspond to the amount effectively captured and sent for CO</t>
    </r>
    <r>
      <rPr>
        <vertAlign val="subscript"/>
        <sz val="11"/>
        <color theme="1"/>
        <rFont val="Calibri"/>
        <family val="2"/>
        <scheme val="minor"/>
      </rPr>
      <t>2</t>
    </r>
    <r>
      <rPr>
        <sz val="11"/>
        <color theme="1"/>
        <rFont val="Calibri"/>
        <family val="2"/>
        <scheme val="minor"/>
      </rPr>
      <t xml:space="preserve"> transport</t>
    </r>
  </si>
  <si>
    <t>For sensitivity analyses</t>
  </si>
  <si>
    <t>For base case</t>
  </si>
  <si>
    <r>
      <rPr>
        <u/>
        <sz val="11"/>
        <color theme="1"/>
        <rFont val="Calibri"/>
        <family val="2"/>
        <scheme val="minor"/>
      </rPr>
      <t>NB:</t>
    </r>
    <r>
      <rPr>
        <sz val="11"/>
        <color theme="1"/>
        <rFont val="Calibri"/>
        <family val="2"/>
        <scheme val="minor"/>
      </rPr>
      <t xml:space="preserve"> Assessed on an EBTIDA basis (Earnings Before Interest, Taxes, Depreciation and Amortization)</t>
    </r>
  </si>
  <si>
    <r>
      <rPr>
        <u/>
        <sz val="11"/>
        <color theme="1"/>
        <rFont val="Calibri"/>
        <family val="2"/>
        <scheme val="minor"/>
      </rPr>
      <t>NB:</t>
    </r>
    <r>
      <rPr>
        <sz val="11"/>
        <color theme="1"/>
        <rFont val="Calibri"/>
        <family val="2"/>
        <scheme val="minor"/>
      </rPr>
      <t xml:space="preserve"> If several sections (for example absorber sections) are considered. The cost of each section shall be assessed seperatly and then added together in the correct 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</si>
</sst>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
  </numFmts>
  <fonts count="27" x14ac:knownFonts="1">
    <font>
      <sz val="11"/>
      <color theme="1"/>
      <name val="Calibri"/>
      <family val="2"/>
      <scheme val="minor"/>
    </font>
    <font>
      <b/>
      <sz val="11"/>
      <color theme="1"/>
      <name val="Calibri"/>
      <family val="2"/>
      <scheme val="minor"/>
    </font>
    <font>
      <b/>
      <u/>
      <sz val="11"/>
      <color theme="1"/>
      <name val="Calibri"/>
      <family val="2"/>
      <scheme val="minor"/>
    </font>
    <font>
      <sz val="11"/>
      <color rgb="FF006100"/>
      <name val="Calibri"/>
      <family val="2"/>
      <scheme val="minor"/>
    </font>
    <font>
      <sz val="11"/>
      <color rgb="FF3F3F76"/>
      <name val="Calibri"/>
      <family val="2"/>
      <scheme val="minor"/>
    </font>
    <font>
      <sz val="11"/>
      <name val="Calibri"/>
      <family val="2"/>
      <scheme val="minor"/>
    </font>
    <font>
      <vertAlign val="subscript"/>
      <sz val="11"/>
      <color rgb="FF006100"/>
      <name val="Calibri"/>
      <family val="2"/>
      <scheme val="minor"/>
    </font>
    <font>
      <b/>
      <sz val="11"/>
      <color theme="0"/>
      <name val="Calibri"/>
      <family val="2"/>
      <scheme val="minor"/>
    </font>
    <font>
      <sz val="11"/>
      <color theme="0"/>
      <name val="Calibri"/>
      <family val="2"/>
      <scheme val="minor"/>
    </font>
    <font>
      <b/>
      <sz val="11"/>
      <color rgb="FF006100"/>
      <name val="Calibri"/>
      <family val="2"/>
      <scheme val="minor"/>
    </font>
    <font>
      <b/>
      <vertAlign val="subscript"/>
      <sz val="11"/>
      <color theme="0"/>
      <name val="Calibri"/>
      <family val="2"/>
      <scheme val="minor"/>
    </font>
    <font>
      <b/>
      <u/>
      <sz val="11"/>
      <color theme="0"/>
      <name val="Calibri"/>
      <family val="2"/>
      <scheme val="minor"/>
    </font>
    <font>
      <b/>
      <u/>
      <vertAlign val="subscript"/>
      <sz val="11"/>
      <color theme="1"/>
      <name val="Calibri"/>
      <family val="2"/>
      <scheme val="minor"/>
    </font>
    <font>
      <b/>
      <sz val="11"/>
      <color rgb="FF3F3F3F"/>
      <name val="Calibri"/>
      <family val="2"/>
      <scheme val="minor"/>
    </font>
    <font>
      <vertAlign val="subscript"/>
      <sz val="11"/>
      <color theme="0"/>
      <name val="Calibri"/>
      <family val="2"/>
      <scheme val="minor"/>
    </font>
    <font>
      <sz val="11"/>
      <color theme="1"/>
      <name val="Calibri"/>
      <family val="2"/>
      <scheme val="minor"/>
    </font>
    <font>
      <sz val="10"/>
      <color rgb="FF006100"/>
      <name val="Calibri"/>
      <family val="2"/>
      <scheme val="minor"/>
    </font>
    <font>
      <sz val="10"/>
      <color theme="1"/>
      <name val="Calibri"/>
      <family val="2"/>
      <scheme val="minor"/>
    </font>
    <font>
      <b/>
      <sz val="10"/>
      <color theme="0"/>
      <name val="Calibri"/>
      <family val="2"/>
      <scheme val="minor"/>
    </font>
    <font>
      <b/>
      <vertAlign val="subscript"/>
      <sz val="10"/>
      <color theme="0"/>
      <name val="Calibri"/>
      <family val="2"/>
      <scheme val="minor"/>
    </font>
    <font>
      <sz val="10"/>
      <color theme="0"/>
      <name val="Calibri"/>
      <family val="2"/>
      <scheme val="minor"/>
    </font>
    <font>
      <vertAlign val="subscript"/>
      <sz val="10"/>
      <color theme="0"/>
      <name val="Calibri"/>
      <family val="2"/>
      <scheme val="minor"/>
    </font>
    <font>
      <b/>
      <u/>
      <sz val="12"/>
      <color theme="1"/>
      <name val="Calibri"/>
      <family val="2"/>
      <scheme val="minor"/>
    </font>
    <font>
      <b/>
      <vertAlign val="subscript"/>
      <sz val="11"/>
      <color rgb="FF006100"/>
      <name val="Calibri"/>
      <family val="2"/>
      <scheme val="minor"/>
    </font>
    <font>
      <sz val="9"/>
      <color theme="1"/>
      <name val="Arial"/>
      <family val="2"/>
    </font>
    <font>
      <u/>
      <sz val="11"/>
      <color theme="1"/>
      <name val="Calibri"/>
      <family val="2"/>
      <scheme val="minor"/>
    </font>
    <font>
      <vertAlign val="subscript"/>
      <sz val="11"/>
      <color theme="1"/>
      <name val="Calibri"/>
      <family val="2"/>
      <scheme val="minor"/>
    </font>
  </fonts>
  <fills count="6">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top/>
      <bottom/>
      <diagonal/>
    </border>
    <border>
      <left/>
      <right style="medium">
        <color indexed="64"/>
      </right>
      <top/>
      <bottom/>
      <diagonal/>
    </border>
    <border>
      <left style="thin">
        <color rgb="FF7F7F7F"/>
      </left>
      <right/>
      <top style="medium">
        <color indexed="64"/>
      </top>
      <bottom style="thin">
        <color rgb="FF7F7F7F"/>
      </bottom>
      <diagonal/>
    </border>
    <border>
      <left style="thin">
        <color auto="1"/>
      </left>
      <right style="thin">
        <color rgb="FF7F7F7F"/>
      </right>
      <top style="medium">
        <color indexed="64"/>
      </top>
      <bottom style="thin">
        <color rgb="FF7F7F7F"/>
      </bottom>
      <diagonal/>
    </border>
    <border>
      <left style="thin">
        <color auto="1"/>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 fillId="2" borderId="0" applyNumberFormat="0" applyBorder="0" applyAlignment="0" applyProtection="0"/>
    <xf numFmtId="0" fontId="4" fillId="3" borderId="2" applyNumberFormat="0" applyAlignment="0" applyProtection="0"/>
    <xf numFmtId="0" fontId="8" fillId="5" borderId="0" applyNumberFormat="0" applyBorder="0" applyAlignment="0" applyProtection="0"/>
    <xf numFmtId="0" fontId="13" fillId="4" borderId="14" applyNumberFormat="0" applyAlignment="0" applyProtection="0"/>
  </cellStyleXfs>
  <cellXfs count="219">
    <xf numFmtId="0" fontId="0" fillId="0" borderId="0" xfId="0"/>
    <xf numFmtId="0" fontId="0" fillId="0" borderId="0" xfId="0" applyAlignment="1">
      <alignment horizontal="center"/>
    </xf>
    <xf numFmtId="0" fontId="2" fillId="0" borderId="0" xfId="0" applyFont="1"/>
    <xf numFmtId="0" fontId="5" fillId="0" borderId="0" xfId="0" applyFont="1" applyAlignment="1">
      <alignment horizontal="center"/>
    </xf>
    <xf numFmtId="0" fontId="3" fillId="2" borderId="0" xfId="1"/>
    <xf numFmtId="0" fontId="3" fillId="2" borderId="0" xfId="1" applyAlignment="1">
      <alignment horizontal="center"/>
    </xf>
    <xf numFmtId="0" fontId="0" fillId="0" borderId="0" xfId="0" applyBorder="1"/>
    <xf numFmtId="0" fontId="0" fillId="0" borderId="0" xfId="0" applyBorder="1" applyAlignment="1">
      <alignment vertical="center"/>
    </xf>
    <xf numFmtId="0" fontId="3" fillId="2" borderId="0" xfId="1" applyBorder="1" applyAlignment="1">
      <alignment horizontal="left" vertical="center"/>
    </xf>
    <xf numFmtId="0" fontId="3" fillId="2" borderId="0" xfId="1" applyBorder="1"/>
    <xf numFmtId="0" fontId="3" fillId="2" borderId="0" xfId="1" applyBorder="1" applyAlignment="1">
      <alignment vertical="center"/>
    </xf>
    <xf numFmtId="3" fontId="3" fillId="2" borderId="0" xfId="1" applyNumberFormat="1" applyBorder="1" applyAlignment="1">
      <alignment horizontal="center" vertical="center"/>
    </xf>
    <xf numFmtId="0" fontId="7" fillId="5" borderId="0" xfId="3" applyFont="1" applyBorder="1"/>
    <xf numFmtId="3" fontId="7" fillId="5" borderId="0" xfId="3" applyNumberFormat="1" applyFont="1" applyBorder="1" applyAlignment="1">
      <alignment horizontal="center" vertical="center"/>
    </xf>
    <xf numFmtId="3" fontId="3" fillId="2" borderId="12" xfId="1" applyNumberFormat="1" applyBorder="1" applyAlignment="1">
      <alignment horizontal="center"/>
    </xf>
    <xf numFmtId="3" fontId="7" fillId="5" borderId="13" xfId="3" applyNumberFormat="1" applyFont="1" applyBorder="1" applyAlignment="1">
      <alignment horizontal="center"/>
    </xf>
    <xf numFmtId="0" fontId="3" fillId="2" borderId="11" xfId="1" applyBorder="1"/>
    <xf numFmtId="0" fontId="3" fillId="2" borderId="12" xfId="1" applyBorder="1"/>
    <xf numFmtId="0" fontId="7" fillId="5" borderId="13" xfId="3" applyFont="1" applyBorder="1"/>
    <xf numFmtId="3" fontId="3" fillId="2" borderId="11" xfId="1" applyNumberFormat="1" applyBorder="1" applyAlignment="1">
      <alignment horizontal="center"/>
    </xf>
    <xf numFmtId="0" fontId="9" fillId="2" borderId="6" xfId="1" applyFont="1" applyBorder="1"/>
    <xf numFmtId="0" fontId="3" fillId="2" borderId="3" xfId="1" applyBorder="1"/>
    <xf numFmtId="3" fontId="3" fillId="2" borderId="8" xfId="1" applyNumberFormat="1" applyBorder="1" applyAlignment="1">
      <alignment horizontal="center" vertical="center"/>
    </xf>
    <xf numFmtId="0" fontId="7" fillId="5" borderId="9" xfId="3" applyFont="1" applyBorder="1"/>
    <xf numFmtId="3" fontId="7" fillId="5" borderId="3" xfId="3" applyNumberFormat="1" applyFont="1" applyBorder="1" applyAlignment="1">
      <alignment horizontal="center" vertical="center"/>
    </xf>
    <xf numFmtId="3" fontId="7" fillId="5" borderId="8" xfId="3" applyNumberFormat="1" applyFont="1" applyBorder="1" applyAlignment="1">
      <alignment horizontal="center" vertical="center"/>
    </xf>
    <xf numFmtId="3" fontId="3" fillId="2" borderId="3" xfId="1" applyNumberFormat="1" applyBorder="1" applyAlignment="1">
      <alignment horizontal="center" vertical="center"/>
    </xf>
    <xf numFmtId="3" fontId="7" fillId="5" borderId="12" xfId="3" applyNumberFormat="1" applyFont="1" applyBorder="1" applyAlignment="1">
      <alignment horizontal="center" vertical="center"/>
    </xf>
    <xf numFmtId="3" fontId="3" fillId="2" borderId="12" xfId="1" applyNumberFormat="1" applyBorder="1" applyAlignment="1">
      <alignment horizontal="center" vertical="center"/>
    </xf>
    <xf numFmtId="3" fontId="9" fillId="2" borderId="11" xfId="1" applyNumberFormat="1" applyFont="1" applyBorder="1" applyAlignment="1">
      <alignment horizontal="center" vertical="center"/>
    </xf>
    <xf numFmtId="0" fontId="7" fillId="5" borderId="3" xfId="3" applyFont="1" applyBorder="1"/>
    <xf numFmtId="0" fontId="3" fillId="2" borderId="3" xfId="1" applyBorder="1" applyAlignment="1">
      <alignment wrapText="1"/>
    </xf>
    <xf numFmtId="0" fontId="8" fillId="5" borderId="9" xfId="3" applyFont="1" applyBorder="1" applyAlignment="1">
      <alignment horizontal="center" vertical="center" wrapText="1"/>
    </xf>
    <xf numFmtId="0" fontId="8" fillId="5" borderId="5" xfId="3" applyFont="1" applyBorder="1" applyAlignment="1">
      <alignment horizontal="center" vertical="center" wrapText="1"/>
    </xf>
    <xf numFmtId="0" fontId="8" fillId="5" borderId="10" xfId="3" applyFont="1" applyBorder="1" applyAlignment="1">
      <alignment horizontal="center" vertical="center" wrapText="1"/>
    </xf>
    <xf numFmtId="0" fontId="3" fillId="2" borderId="6" xfId="1" applyBorder="1"/>
    <xf numFmtId="3" fontId="3" fillId="2" borderId="7" xfId="1" applyNumberFormat="1" applyBorder="1" applyAlignment="1">
      <alignment horizontal="center"/>
    </xf>
    <xf numFmtId="3" fontId="3" fillId="2" borderId="8" xfId="1" applyNumberFormat="1" applyBorder="1" applyAlignment="1">
      <alignment horizontal="center"/>
    </xf>
    <xf numFmtId="0" fontId="7" fillId="5" borderId="11" xfId="3" applyFont="1" applyBorder="1"/>
    <xf numFmtId="3" fontId="7" fillId="5" borderId="10" xfId="3" applyNumberFormat="1" applyFont="1" applyBorder="1" applyAlignment="1">
      <alignment horizontal="center"/>
    </xf>
    <xf numFmtId="164" fontId="7" fillId="5" borderId="0" xfId="3" applyNumberFormat="1" applyFont="1" applyBorder="1" applyAlignment="1">
      <alignment horizontal="center"/>
    </xf>
    <xf numFmtId="164" fontId="11" fillId="5" borderId="0" xfId="3" applyNumberFormat="1" applyFont="1" applyBorder="1" applyAlignment="1">
      <alignment horizontal="center"/>
    </xf>
    <xf numFmtId="0" fontId="3" fillId="2" borderId="4" xfId="1" applyBorder="1"/>
    <xf numFmtId="164" fontId="3" fillId="2" borderId="0" xfId="1" applyNumberFormat="1" applyBorder="1" applyAlignment="1">
      <alignment horizontal="center"/>
    </xf>
    <xf numFmtId="0" fontId="3" fillId="2" borderId="0" xfId="1" applyFont="1" applyBorder="1" applyAlignment="1">
      <alignment vertical="center"/>
    </xf>
    <xf numFmtId="0" fontId="3" fillId="2" borderId="5" xfId="1" applyBorder="1"/>
    <xf numFmtId="0" fontId="0" fillId="0" borderId="0" xfId="0" applyAlignment="1"/>
    <xf numFmtId="0" fontId="7" fillId="5" borderId="1" xfId="3" applyFont="1" applyBorder="1"/>
    <xf numFmtId="3" fontId="7" fillId="5" borderId="1" xfId="3" applyNumberFormat="1" applyFont="1" applyBorder="1" applyAlignment="1">
      <alignment horizontal="center"/>
    </xf>
    <xf numFmtId="0" fontId="3" fillId="2" borderId="0" xfId="1"/>
    <xf numFmtId="166" fontId="0" fillId="0" borderId="0" xfId="0" applyNumberFormat="1"/>
    <xf numFmtId="164" fontId="0" fillId="0" borderId="0" xfId="0" applyNumberFormat="1"/>
    <xf numFmtId="0" fontId="3" fillId="2" borderId="0" xfId="1" applyBorder="1" applyAlignment="1">
      <alignment horizontal="center"/>
    </xf>
    <xf numFmtId="9" fontId="3" fillId="2" borderId="4" xfId="1" applyNumberFormat="1" applyBorder="1" applyAlignment="1">
      <alignment horizontal="center"/>
    </xf>
    <xf numFmtId="1" fontId="3" fillId="2" borderId="4" xfId="1" applyNumberFormat="1" applyBorder="1" applyAlignment="1">
      <alignment horizontal="center"/>
    </xf>
    <xf numFmtId="9" fontId="3" fillId="2" borderId="0" xfId="1" applyNumberFormat="1" applyBorder="1" applyAlignment="1">
      <alignment horizontal="center"/>
    </xf>
    <xf numFmtId="1" fontId="3" fillId="2" borderId="0" xfId="1" applyNumberFormat="1" applyBorder="1" applyAlignment="1">
      <alignment horizontal="center"/>
    </xf>
    <xf numFmtId="9" fontId="3" fillId="2" borderId="5" xfId="1" applyNumberFormat="1" applyBorder="1" applyAlignment="1">
      <alignment horizontal="center"/>
    </xf>
    <xf numFmtId="1" fontId="3" fillId="2" borderId="5" xfId="1" applyNumberFormat="1" applyBorder="1" applyAlignment="1">
      <alignment horizontal="center"/>
    </xf>
    <xf numFmtId="1" fontId="3" fillId="2" borderId="0" xfId="1" applyNumberFormat="1" applyAlignment="1">
      <alignment horizontal="center"/>
    </xf>
    <xf numFmtId="0" fontId="0" fillId="0" borderId="0" xfId="0" applyAlignment="1">
      <alignment horizontal="center"/>
    </xf>
    <xf numFmtId="3" fontId="3" fillId="2" borderId="0" xfId="1" applyNumberFormat="1" applyBorder="1" applyAlignment="1">
      <alignment horizontal="center"/>
    </xf>
    <xf numFmtId="0" fontId="13" fillId="4" borderId="15" xfId="4" applyBorder="1" applyAlignment="1">
      <alignment horizontal="center"/>
    </xf>
    <xf numFmtId="2" fontId="13" fillId="4" borderId="15" xfId="4" applyNumberFormat="1" applyBorder="1" applyAlignment="1">
      <alignment horizontal="center"/>
    </xf>
    <xf numFmtId="0" fontId="8" fillId="5" borderId="25" xfId="3" applyBorder="1" applyAlignment="1">
      <alignment horizontal="center"/>
    </xf>
    <xf numFmtId="0" fontId="8" fillId="5" borderId="26" xfId="3" applyBorder="1" applyAlignment="1">
      <alignment horizontal="center"/>
    </xf>
    <xf numFmtId="0" fontId="8" fillId="5" borderId="27" xfId="3" applyBorder="1" applyAlignment="1">
      <alignment horizontal="center"/>
    </xf>
    <xf numFmtId="0" fontId="3" fillId="2" borderId="28" xfId="1" applyBorder="1" applyAlignment="1">
      <alignment horizontal="center"/>
    </xf>
    <xf numFmtId="2" fontId="3" fillId="2" borderId="29" xfId="1" applyNumberFormat="1" applyBorder="1" applyAlignment="1">
      <alignment horizontal="center"/>
    </xf>
    <xf numFmtId="0" fontId="3" fillId="2" borderId="19" xfId="1" applyBorder="1" applyAlignment="1">
      <alignment horizontal="center"/>
    </xf>
    <xf numFmtId="0" fontId="3" fillId="2" borderId="20" xfId="1" applyBorder="1" applyAlignment="1">
      <alignment horizontal="center"/>
    </xf>
    <xf numFmtId="2" fontId="3" fillId="2" borderId="21" xfId="1" applyNumberFormat="1" applyBorder="1" applyAlignment="1">
      <alignment horizontal="center"/>
    </xf>
    <xf numFmtId="2" fontId="3" fillId="2" borderId="0" xfId="1" applyNumberFormat="1" applyBorder="1" applyAlignment="1">
      <alignment horizontal="center"/>
    </xf>
    <xf numFmtId="2" fontId="3" fillId="2" borderId="20" xfId="1" applyNumberFormat="1" applyBorder="1" applyAlignment="1">
      <alignment horizontal="center"/>
    </xf>
    <xf numFmtId="165" fontId="3" fillId="2" borderId="0" xfId="1" applyNumberFormat="1" applyBorder="1" applyAlignment="1">
      <alignment horizontal="center"/>
    </xf>
    <xf numFmtId="165" fontId="3" fillId="2" borderId="20" xfId="1" applyNumberFormat="1" applyBorder="1" applyAlignment="1">
      <alignment horizontal="center"/>
    </xf>
    <xf numFmtId="0" fontId="8" fillId="5" borderId="30" xfId="3" applyBorder="1" applyAlignment="1">
      <alignment horizontal="center"/>
    </xf>
    <xf numFmtId="0" fontId="8" fillId="5" borderId="31" xfId="3" applyBorder="1" applyAlignment="1">
      <alignment horizontal="center"/>
    </xf>
    <xf numFmtId="0" fontId="3" fillId="2" borderId="3" xfId="1" applyBorder="1" applyAlignment="1">
      <alignment horizontal="center"/>
    </xf>
    <xf numFmtId="0" fontId="3" fillId="2" borderId="32" xfId="1" applyBorder="1" applyAlignment="1">
      <alignment horizontal="center"/>
    </xf>
    <xf numFmtId="0" fontId="3" fillId="2" borderId="0" xfId="1"/>
    <xf numFmtId="0" fontId="3" fillId="2" borderId="0" xfId="1" applyBorder="1" applyAlignment="1">
      <alignment horizontal="center"/>
    </xf>
    <xf numFmtId="0" fontId="0" fillId="0" borderId="0" xfId="0" applyAlignment="1">
      <alignment horizontal="center"/>
    </xf>
    <xf numFmtId="3" fontId="3" fillId="2" borderId="3" xfId="1" applyNumberFormat="1" applyBorder="1" applyAlignment="1">
      <alignment horizontal="center" vertical="center"/>
    </xf>
    <xf numFmtId="0" fontId="3" fillId="2" borderId="0" xfId="1" applyBorder="1" applyAlignment="1">
      <alignment horizontal="center" vertical="center"/>
    </xf>
    <xf numFmtId="167" fontId="3" fillId="2" borderId="0" xfId="1" applyNumberFormat="1" applyAlignment="1">
      <alignment horizontal="center"/>
    </xf>
    <xf numFmtId="167" fontId="3" fillId="2" borderId="4" xfId="1" applyNumberFormat="1" applyBorder="1" applyAlignment="1">
      <alignment horizontal="center"/>
    </xf>
    <xf numFmtId="167" fontId="3" fillId="2" borderId="0" xfId="1" applyNumberFormat="1" applyBorder="1" applyAlignment="1">
      <alignment horizontal="center"/>
    </xf>
    <xf numFmtId="167" fontId="3" fillId="2" borderId="5" xfId="1" applyNumberFormat="1" applyBorder="1" applyAlignment="1">
      <alignment horizontal="center"/>
    </xf>
    <xf numFmtId="0" fontId="16" fillId="2" borderId="0" xfId="1" applyFont="1" applyBorder="1"/>
    <xf numFmtId="0" fontId="16" fillId="2" borderId="0" xfId="1" applyFont="1" applyBorder="1" applyAlignment="1">
      <alignment vertical="center"/>
    </xf>
    <xf numFmtId="166" fontId="16" fillId="2" borderId="0" xfId="1" applyNumberFormat="1" applyFont="1" applyBorder="1" applyAlignment="1">
      <alignment horizontal="center"/>
    </xf>
    <xf numFmtId="0" fontId="16" fillId="2" borderId="0" xfId="1" applyNumberFormat="1" applyFont="1" applyBorder="1" applyAlignment="1">
      <alignment vertical="center" wrapText="1"/>
    </xf>
    <xf numFmtId="166" fontId="16" fillId="2" borderId="0" xfId="1" applyNumberFormat="1" applyFont="1" applyBorder="1" applyAlignment="1">
      <alignment horizontal="center" vertical="center"/>
    </xf>
    <xf numFmtId="0" fontId="16" fillId="2" borderId="0" xfId="1" applyFont="1" applyBorder="1" applyAlignment="1">
      <alignment vertical="center" wrapText="1"/>
    </xf>
    <xf numFmtId="166" fontId="16" fillId="2" borderId="0" xfId="1" applyNumberFormat="1" applyFont="1" applyBorder="1" applyAlignment="1">
      <alignment horizontal="center" wrapText="1"/>
    </xf>
    <xf numFmtId="0" fontId="17" fillId="0" borderId="0" xfId="0" applyFont="1" applyBorder="1" applyAlignment="1">
      <alignment vertical="center"/>
    </xf>
    <xf numFmtId="0" fontId="18" fillId="5" borderId="4" xfId="3" applyFont="1" applyBorder="1" applyAlignment="1">
      <alignment horizontal="center" wrapText="1"/>
    </xf>
    <xf numFmtId="164" fontId="20" fillId="5" borderId="0" xfId="3" applyNumberFormat="1" applyFont="1" applyBorder="1" applyAlignment="1">
      <alignment horizontal="center"/>
    </xf>
    <xf numFmtId="164" fontId="20" fillId="5" borderId="0" xfId="3" applyNumberFormat="1" applyFont="1" applyBorder="1" applyAlignment="1">
      <alignment horizontal="center" wrapText="1"/>
    </xf>
    <xf numFmtId="166" fontId="18" fillId="5" borderId="0" xfId="3" applyNumberFormat="1" applyFont="1" applyBorder="1" applyAlignment="1">
      <alignment horizontal="center"/>
    </xf>
    <xf numFmtId="0" fontId="22" fillId="0" borderId="0" xfId="0" applyFont="1"/>
    <xf numFmtId="0" fontId="3" fillId="2" borderId="0" xfId="1" applyFont="1" applyBorder="1" applyAlignment="1">
      <alignment horizontal="center"/>
    </xf>
    <xf numFmtId="0" fontId="15" fillId="0" borderId="0" xfId="0" applyFont="1" applyBorder="1"/>
    <xf numFmtId="0" fontId="15" fillId="0" borderId="0" xfId="0" applyFont="1" applyBorder="1" applyAlignment="1">
      <alignment horizontal="center"/>
    </xf>
    <xf numFmtId="0" fontId="3" fillId="2" borderId="0" xfId="1" applyFont="1" applyBorder="1"/>
    <xf numFmtId="0" fontId="3" fillId="2" borderId="3" xfId="1" applyBorder="1" applyAlignment="1">
      <alignment horizontal="center" vertical="center" wrapText="1"/>
    </xf>
    <xf numFmtId="0" fontId="3" fillId="2" borderId="0" xfId="1" applyBorder="1" applyAlignment="1">
      <alignment horizontal="center" vertical="center" wrapText="1"/>
    </xf>
    <xf numFmtId="0" fontId="3" fillId="2" borderId="8" xfId="1" applyBorder="1" applyAlignment="1">
      <alignment horizontal="center" vertical="center" wrapText="1"/>
    </xf>
    <xf numFmtId="10" fontId="3" fillId="2" borderId="0" xfId="1" applyNumberFormat="1" applyBorder="1" applyAlignment="1">
      <alignment horizontal="center"/>
    </xf>
    <xf numFmtId="3" fontId="9" fillId="2" borderId="6" xfId="1" applyNumberFormat="1" applyFont="1" applyBorder="1" applyAlignment="1">
      <alignment horizontal="center" vertical="center"/>
    </xf>
    <xf numFmtId="3" fontId="9" fillId="2" borderId="4" xfId="1" applyNumberFormat="1" applyFont="1" applyBorder="1" applyAlignment="1">
      <alignment horizontal="center" vertical="center"/>
    </xf>
    <xf numFmtId="3" fontId="9" fillId="2" borderId="7" xfId="1" applyNumberFormat="1" applyFont="1" applyBorder="1" applyAlignment="1">
      <alignment horizontal="center" vertical="center"/>
    </xf>
    <xf numFmtId="0" fontId="24" fillId="0" borderId="0" xfId="0" applyFont="1"/>
    <xf numFmtId="0" fontId="3" fillId="2" borderId="0" xfId="1" applyAlignment="1"/>
    <xf numFmtId="0" fontId="0" fillId="0" borderId="0" xfId="0" applyAlignment="1">
      <alignment horizontal="center"/>
    </xf>
    <xf numFmtId="0" fontId="3" fillId="2" borderId="0" xfId="1"/>
    <xf numFmtId="0" fontId="3" fillId="2" borderId="0" xfId="1" applyAlignment="1"/>
    <xf numFmtId="0" fontId="3" fillId="2" borderId="0" xfId="1" applyAlignment="1"/>
    <xf numFmtId="1" fontId="0" fillId="0" borderId="0" xfId="0" applyNumberFormat="1"/>
    <xf numFmtId="0" fontId="3" fillId="2" borderId="0" xfId="1"/>
    <xf numFmtId="164" fontId="3" fillId="2" borderId="4" xfId="1" applyNumberFormat="1" applyBorder="1" applyAlignment="1">
      <alignment horizontal="center"/>
    </xf>
    <xf numFmtId="164" fontId="3" fillId="2" borderId="5" xfId="1" applyNumberFormat="1" applyBorder="1" applyAlignment="1">
      <alignment horizontal="center"/>
    </xf>
    <xf numFmtId="0" fontId="4" fillId="3" borderId="0" xfId="2" applyFont="1" applyBorder="1" applyAlignment="1" applyProtection="1">
      <alignment horizontal="center"/>
      <protection locked="0"/>
    </xf>
    <xf numFmtId="164" fontId="4" fillId="3" borderId="0" xfId="2" applyNumberFormat="1" applyFont="1" applyBorder="1" applyAlignment="1" applyProtection="1">
      <alignment horizontal="center"/>
      <protection locked="0"/>
    </xf>
    <xf numFmtId="164" fontId="5" fillId="3" borderId="0" xfId="2" applyNumberFormat="1" applyFont="1" applyBorder="1" applyAlignment="1" applyProtection="1">
      <alignment horizontal="center"/>
      <protection locked="0"/>
    </xf>
    <xf numFmtId="3" fontId="5" fillId="3" borderId="0" xfId="2" applyNumberFormat="1" applyFont="1" applyBorder="1" applyAlignment="1" applyProtection="1">
      <alignment horizontal="center" vertical="center"/>
      <protection locked="0"/>
    </xf>
    <xf numFmtId="3" fontId="5" fillId="3" borderId="8" xfId="2" applyNumberFormat="1" applyFont="1" applyBorder="1" applyAlignment="1" applyProtection="1">
      <alignment horizontal="center" vertical="center"/>
      <protection locked="0"/>
    </xf>
    <xf numFmtId="3" fontId="5" fillId="3" borderId="5" xfId="2" applyNumberFormat="1" applyFont="1" applyBorder="1" applyAlignment="1" applyProtection="1">
      <alignment horizontal="center" vertical="center"/>
      <protection locked="0"/>
    </xf>
    <xf numFmtId="3" fontId="5" fillId="3" borderId="10"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3" fontId="4" fillId="3" borderId="0" xfId="2" applyNumberFormat="1" applyBorder="1" applyAlignment="1" applyProtection="1">
      <alignment horizontal="center"/>
      <protection locked="0"/>
    </xf>
    <xf numFmtId="0" fontId="4" fillId="3" borderId="0" xfId="2" applyBorder="1" applyAlignment="1" applyProtection="1">
      <alignment horizontal="center" vertical="center"/>
      <protection locked="0"/>
    </xf>
    <xf numFmtId="9" fontId="4" fillId="3" borderId="0" xfId="2" applyNumberFormat="1" applyBorder="1" applyAlignment="1" applyProtection="1">
      <alignment horizontal="center"/>
      <protection locked="0"/>
    </xf>
    <xf numFmtId="164" fontId="4" fillId="3" borderId="0" xfId="2" applyNumberFormat="1" applyBorder="1" applyAlignment="1" applyProtection="1">
      <alignment horizontal="center"/>
      <protection locked="0"/>
    </xf>
    <xf numFmtId="3" fontId="3" fillId="2" borderId="0" xfId="1" applyNumberFormat="1" applyBorder="1" applyAlignment="1" applyProtection="1">
      <alignment horizontal="center"/>
      <protection locked="0"/>
    </xf>
    <xf numFmtId="2" fontId="4" fillId="3" borderId="0" xfId="2" applyNumberFormat="1" applyBorder="1" applyAlignment="1" applyProtection="1">
      <alignment horizontal="center"/>
      <protection locked="0"/>
    </xf>
    <xf numFmtId="3" fontId="5" fillId="3" borderId="3" xfId="2" applyNumberFormat="1" applyFont="1" applyBorder="1" applyAlignment="1" applyProtection="1">
      <alignment horizontal="center" vertical="center"/>
      <protection locked="0"/>
    </xf>
    <xf numFmtId="3" fontId="5" fillId="3" borderId="9"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0" fontId="3" fillId="2" borderId="0" xfId="1" applyAlignment="1"/>
    <xf numFmtId="0" fontId="0" fillId="0" borderId="0" xfId="0" applyAlignment="1"/>
    <xf numFmtId="0" fontId="3" fillId="2" borderId="0" xfId="1" applyBorder="1" applyAlignment="1">
      <alignment wrapText="1"/>
    </xf>
    <xf numFmtId="0" fontId="3" fillId="2" borderId="0" xfId="1"/>
    <xf numFmtId="0" fontId="3" fillId="2" borderId="0" xfId="1" applyBorder="1" applyAlignment="1">
      <alignment horizontal="center"/>
    </xf>
    <xf numFmtId="0" fontId="0" fillId="0" borderId="0" xfId="0" applyAlignment="1">
      <alignment horizontal="center"/>
    </xf>
    <xf numFmtId="0" fontId="3" fillId="2" borderId="0" xfId="1" applyFont="1" applyBorder="1" applyAlignment="1"/>
    <xf numFmtId="0" fontId="0" fillId="0" borderId="0" xfId="0" applyBorder="1" applyAlignment="1"/>
    <xf numFmtId="0" fontId="3" fillId="2" borderId="0" xfId="1" applyBorder="1" applyAlignment="1"/>
    <xf numFmtId="0" fontId="9" fillId="2" borderId="6" xfId="1" applyFont="1" applyBorder="1" applyAlignment="1">
      <alignment horizontal="center"/>
    </xf>
    <xf numFmtId="0" fontId="9" fillId="2" borderId="4" xfId="1" applyFont="1" applyBorder="1" applyAlignment="1">
      <alignment horizontal="center"/>
    </xf>
    <xf numFmtId="0" fontId="9" fillId="2" borderId="7" xfId="1" applyFont="1" applyBorder="1" applyAlignment="1">
      <alignment horizontal="center"/>
    </xf>
    <xf numFmtId="0" fontId="9" fillId="2" borderId="6" xfId="1" applyFont="1" applyBorder="1" applyAlignment="1">
      <alignment horizontal="center" vertical="center" wrapText="1"/>
    </xf>
    <xf numFmtId="0" fontId="9" fillId="2" borderId="7" xfId="1" applyFont="1" applyBorder="1" applyAlignment="1"/>
    <xf numFmtId="0" fontId="9" fillId="2" borderId="3" xfId="1" applyFont="1" applyBorder="1" applyAlignment="1"/>
    <xf numFmtId="0" fontId="9" fillId="2" borderId="8" xfId="1" applyFont="1" applyBorder="1" applyAlignment="1"/>
    <xf numFmtId="3" fontId="5" fillId="3" borderId="3" xfId="2" applyNumberFormat="1" applyFont="1" applyBorder="1" applyAlignment="1" applyProtection="1">
      <alignment horizontal="center" vertical="center"/>
      <protection locked="0"/>
    </xf>
    <xf numFmtId="0" fontId="0" fillId="0" borderId="8" xfId="0" applyFont="1" applyBorder="1" applyAlignment="1" applyProtection="1">
      <protection locked="0"/>
    </xf>
    <xf numFmtId="0" fontId="3" fillId="2" borderId="0" xfId="1" applyBorder="1" applyAlignment="1">
      <alignment horizontal="center" vertical="center" wrapText="1"/>
    </xf>
    <xf numFmtId="0" fontId="0" fillId="0" borderId="0" xfId="0" applyAlignment="1">
      <alignment horizontal="center" vertical="center" wrapText="1"/>
    </xf>
    <xf numFmtId="3" fontId="3" fillId="2" borderId="0" xfId="1" applyNumberFormat="1" applyBorder="1" applyAlignment="1">
      <alignment horizontal="center"/>
    </xf>
    <xf numFmtId="2" fontId="4" fillId="3" borderId="0" xfId="2" applyNumberFormat="1" applyBorder="1" applyAlignment="1" applyProtection="1">
      <alignment horizontal="center"/>
      <protection locked="0"/>
    </xf>
    <xf numFmtId="0" fontId="0" fillId="0" borderId="0" xfId="0" applyAlignment="1" applyProtection="1">
      <protection locked="0"/>
    </xf>
    <xf numFmtId="3" fontId="5" fillId="3" borderId="9" xfId="2" applyNumberFormat="1" applyFont="1" applyBorder="1" applyAlignment="1" applyProtection="1">
      <alignment horizontal="center" vertical="center"/>
      <protection locked="0"/>
    </xf>
    <xf numFmtId="0" fontId="0" fillId="0" borderId="10" xfId="0" applyFont="1" applyBorder="1" applyAlignment="1" applyProtection="1">
      <protection locked="0"/>
    </xf>
    <xf numFmtId="0" fontId="4" fillId="3" borderId="0" xfId="2" applyBorder="1" applyAlignment="1" applyProtection="1">
      <alignment horizontal="center"/>
      <protection locked="0"/>
    </xf>
    <xf numFmtId="0" fontId="3" fillId="2" borderId="0" xfId="1" applyBorder="1" applyAlignment="1">
      <alignment horizontal="center" vertical="center"/>
    </xf>
    <xf numFmtId="0" fontId="0" fillId="0" borderId="0" xfId="0" applyAlignment="1">
      <alignment horizontal="center" vertic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16" xfId="0"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0" fillId="0" borderId="0" xfId="0" applyBorder="1" applyAlignment="1">
      <alignment vertical="center"/>
    </xf>
    <xf numFmtId="0" fontId="0" fillId="0" borderId="29"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7" fillId="5" borderId="11" xfId="3" applyFont="1" applyBorder="1" applyAlignment="1">
      <alignment horizontal="center" vertical="center" wrapText="1"/>
    </xf>
    <xf numFmtId="0" fontId="1" fillId="0" borderId="13" xfId="0" applyFont="1" applyBorder="1" applyAlignment="1"/>
    <xf numFmtId="0" fontId="0" fillId="0" borderId="13" xfId="0" applyBorder="1" applyAlignment="1"/>
    <xf numFmtId="3" fontId="3" fillId="2" borderId="3" xfId="1" applyNumberFormat="1" applyBorder="1" applyAlignment="1">
      <alignment horizontal="center" vertical="center"/>
    </xf>
    <xf numFmtId="0" fontId="3" fillId="2" borderId="8" xfId="1" applyBorder="1" applyAlignment="1">
      <alignment horizontal="center" vertical="center"/>
    </xf>
    <xf numFmtId="3" fontId="7" fillId="5" borderId="9" xfId="3" applyNumberFormat="1" applyFont="1" applyBorder="1" applyAlignment="1">
      <alignment horizontal="center"/>
    </xf>
    <xf numFmtId="0" fontId="7" fillId="5" borderId="5" xfId="3" applyFont="1" applyBorder="1" applyAlignment="1">
      <alignment horizontal="center"/>
    </xf>
    <xf numFmtId="0" fontId="7" fillId="5" borderId="10" xfId="3" applyFont="1" applyBorder="1" applyAlignment="1">
      <alignment horizontal="center"/>
    </xf>
    <xf numFmtId="3" fontId="3" fillId="2" borderId="6" xfId="1" applyNumberFormat="1" applyBorder="1" applyAlignment="1">
      <alignment horizontal="center"/>
    </xf>
    <xf numFmtId="0" fontId="3" fillId="2" borderId="4" xfId="1" applyBorder="1" applyAlignment="1">
      <alignment horizontal="center"/>
    </xf>
    <xf numFmtId="0" fontId="3" fillId="2" borderId="7" xfId="1" applyBorder="1" applyAlignment="1">
      <alignment horizontal="center"/>
    </xf>
    <xf numFmtId="3" fontId="3" fillId="2" borderId="3" xfId="1" applyNumberFormat="1" applyBorder="1" applyAlignment="1">
      <alignment horizontal="center"/>
    </xf>
    <xf numFmtId="0" fontId="3" fillId="2" borderId="8" xfId="1" applyBorder="1" applyAlignment="1">
      <alignment horizontal="center"/>
    </xf>
    <xf numFmtId="3" fontId="7" fillId="5" borderId="1" xfId="3" applyNumberFormat="1" applyFont="1" applyBorder="1" applyAlignment="1">
      <alignment horizontal="center"/>
    </xf>
    <xf numFmtId="0" fontId="7" fillId="5" borderId="1" xfId="3" applyFont="1" applyBorder="1" applyAlignment="1">
      <alignment horizontal="center"/>
    </xf>
    <xf numFmtId="0" fontId="7" fillId="5" borderId="6" xfId="3" applyFont="1" applyBorder="1" applyAlignment="1">
      <alignment horizontal="center"/>
    </xf>
    <xf numFmtId="0" fontId="7" fillId="5" borderId="4" xfId="3" applyFont="1" applyBorder="1" applyAlignment="1">
      <alignment horizontal="center"/>
    </xf>
    <xf numFmtId="0" fontId="7" fillId="5" borderId="7" xfId="3" applyFont="1" applyBorder="1" applyAlignment="1">
      <alignment horizontal="center"/>
    </xf>
    <xf numFmtId="3" fontId="7" fillId="5" borderId="3" xfId="3" applyNumberFormat="1" applyFont="1" applyBorder="1" applyAlignment="1">
      <alignment horizontal="center" vertical="center"/>
    </xf>
    <xf numFmtId="0" fontId="7" fillId="5" borderId="0" xfId="3" applyFont="1" applyBorder="1" applyAlignment="1">
      <alignment horizontal="center" vertical="center"/>
    </xf>
    <xf numFmtId="0" fontId="7" fillId="5" borderId="8" xfId="3" applyFont="1" applyBorder="1" applyAlignment="1">
      <alignment horizontal="center" vertical="center"/>
    </xf>
    <xf numFmtId="3" fontId="7" fillId="5" borderId="5" xfId="3" applyNumberFormat="1" applyFont="1" applyBorder="1" applyAlignment="1">
      <alignment horizontal="center"/>
    </xf>
    <xf numFmtId="3" fontId="7" fillId="5" borderId="10" xfId="3" applyNumberFormat="1" applyFont="1" applyBorder="1" applyAlignment="1">
      <alignment horizontal="center"/>
    </xf>
    <xf numFmtId="0" fontId="20" fillId="5" borderId="0" xfId="3" applyNumberFormat="1" applyFont="1" applyBorder="1" applyAlignment="1">
      <alignment vertical="center" wrapText="1"/>
    </xf>
    <xf numFmtId="0" fontId="20" fillId="5" borderId="0" xfId="3" applyFont="1" applyBorder="1" applyAlignment="1">
      <alignment vertical="center"/>
    </xf>
    <xf numFmtId="0" fontId="18" fillId="5" borderId="0" xfId="3" applyFont="1" applyBorder="1" applyAlignment="1"/>
    <xf numFmtId="0" fontId="20" fillId="5" borderId="0" xfId="3" applyFont="1" applyBorder="1" applyAlignment="1">
      <alignment vertical="center" wrapText="1"/>
    </xf>
    <xf numFmtId="0" fontId="0" fillId="0" borderId="4" xfId="0" applyBorder="1" applyAlignment="1">
      <alignment horizontal="center"/>
    </xf>
    <xf numFmtId="0" fontId="3" fillId="2" borderId="4" xfId="1" applyBorder="1" applyAlignment="1">
      <alignment horizontal="center" vertical="center"/>
    </xf>
    <xf numFmtId="0" fontId="0" fillId="0" borderId="4" xfId="0" applyBorder="1" applyAlignment="1">
      <alignment horizontal="center" vertical="center"/>
    </xf>
    <xf numFmtId="0" fontId="3" fillId="2" borderId="4" xfId="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vertical="center"/>
    </xf>
  </cellXfs>
  <cellStyles count="5">
    <cellStyle name="Accent1" xfId="3" builtinId="29"/>
    <cellStyle name="Good" xfId="1" builtinId="26"/>
    <cellStyle name="Input" xfId="2" builtinId="20"/>
    <cellStyle name="Normal" xfId="0" builtinId="0"/>
    <cellStyle name="Output" xfId="4"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15350026795263"/>
          <c:y val="5.0925925925925923E-2"/>
          <c:w val="0.33636757007387724"/>
          <c:h val="0.8416746864975212"/>
        </c:manualLayout>
      </c:layout>
      <c:barChart>
        <c:barDir val="col"/>
        <c:grouping val="stacked"/>
        <c:varyColors val="0"/>
        <c:ser>
          <c:idx val="6"/>
          <c:order val="0"/>
          <c:tx>
            <c:strRef>
              <c:f>'Summarised cost results'!$B$14:$C$14</c:f>
              <c:strCache>
                <c:ptCount val="2"/>
                <c:pt idx="0">
                  <c:v>Interconnecting</c:v>
                </c:pt>
                <c:pt idx="1">
                  <c:v>CAPEX</c:v>
                </c:pt>
              </c:strCache>
            </c:strRef>
          </c:tx>
          <c:spPr>
            <a:solidFill>
              <a:schemeClr val="accent1">
                <a:lumMod val="60000"/>
              </a:schemeClr>
            </a:solidFill>
            <a:ln>
              <a:noFill/>
            </a:ln>
            <a:effectLst/>
          </c:spPr>
          <c:invertIfNegative val="0"/>
          <c:cat>
            <c:strLit>
              <c:ptCount val="1"/>
              <c:pt idx="0">
                <c:v>Detailed breakdown</c:v>
              </c:pt>
            </c:strLit>
          </c:cat>
          <c:val>
            <c:numRef>
              <c:f>'Summarised cost results'!$D$14</c:f>
              <c:numCache>
                <c:formatCode>#,##0.0</c:formatCode>
                <c:ptCount val="1"/>
                <c:pt idx="0">
                  <c:v>24.980683519798628</c:v>
                </c:pt>
              </c:numCache>
            </c:numRef>
          </c:val>
        </c:ser>
        <c:ser>
          <c:idx val="7"/>
          <c:order val="1"/>
          <c:tx>
            <c:strRef>
              <c:f>'Summarised cost results'!$B$15:$C$15</c:f>
              <c:strCache>
                <c:ptCount val="2"/>
                <c:pt idx="0">
                  <c:v>Interconnecting</c:v>
                </c:pt>
                <c:pt idx="1">
                  <c:v>Fixed OPEX</c:v>
                </c:pt>
              </c:strCache>
            </c:strRef>
          </c:tx>
          <c:spPr>
            <a:solidFill>
              <a:schemeClr val="accent2">
                <a:lumMod val="60000"/>
              </a:schemeClr>
            </a:solidFill>
            <a:ln>
              <a:noFill/>
            </a:ln>
            <a:effectLst/>
          </c:spPr>
          <c:invertIfNegative val="0"/>
          <c:cat>
            <c:strLit>
              <c:ptCount val="1"/>
              <c:pt idx="0">
                <c:v>Detailed breakdown</c:v>
              </c:pt>
            </c:strLit>
          </c:cat>
          <c:val>
            <c:numRef>
              <c:f>'Summarised cost results'!$D$15</c:f>
              <c:numCache>
                <c:formatCode>#,##0.0</c:formatCode>
                <c:ptCount val="1"/>
                <c:pt idx="0">
                  <c:v>4.9754469758110673</c:v>
                </c:pt>
              </c:numCache>
            </c:numRef>
          </c:val>
        </c:ser>
        <c:ser>
          <c:idx val="8"/>
          <c:order val="2"/>
          <c:tx>
            <c:strRef>
              <c:f>'Summarised cost results'!$B$16:$C$16</c:f>
              <c:strCache>
                <c:ptCount val="2"/>
                <c:pt idx="0">
                  <c:v>Interconnecting</c:v>
                </c:pt>
                <c:pt idx="1">
                  <c:v>Variable OPEX</c:v>
                </c:pt>
              </c:strCache>
            </c:strRef>
          </c:tx>
          <c:spPr>
            <a:solidFill>
              <a:schemeClr val="accent3">
                <a:lumMod val="60000"/>
              </a:schemeClr>
            </a:solidFill>
            <a:ln>
              <a:noFill/>
            </a:ln>
            <a:effectLst/>
          </c:spPr>
          <c:invertIfNegative val="0"/>
          <c:cat>
            <c:strLit>
              <c:ptCount val="1"/>
              <c:pt idx="0">
                <c:v>Detailed breakdown</c:v>
              </c:pt>
            </c:strLit>
          </c:cat>
          <c:val>
            <c:numRef>
              <c:f>'Summarised cost results'!$D$16</c:f>
              <c:numCache>
                <c:formatCode>#,##0.0</c:formatCode>
                <c:ptCount val="1"/>
                <c:pt idx="0">
                  <c:v>0</c:v>
                </c:pt>
              </c:numCache>
            </c:numRef>
          </c:val>
        </c:ser>
        <c:ser>
          <c:idx val="3"/>
          <c:order val="3"/>
          <c:tx>
            <c:strRef>
              <c:f>'Summarised cost results'!$B$8:$C$8</c:f>
              <c:strCache>
                <c:ptCount val="2"/>
                <c:pt idx="0">
                  <c:v>Utilities</c:v>
                </c:pt>
                <c:pt idx="1">
                  <c:v>CAPEX</c:v>
                </c:pt>
              </c:strCache>
            </c:strRef>
          </c:tx>
          <c:spPr>
            <a:solidFill>
              <a:schemeClr val="accent4"/>
            </a:solidFill>
            <a:ln>
              <a:noFill/>
            </a:ln>
            <a:effectLst/>
          </c:spPr>
          <c:invertIfNegative val="0"/>
          <c:cat>
            <c:strLit>
              <c:ptCount val="1"/>
              <c:pt idx="0">
                <c:v>Detailed breakdown</c:v>
              </c:pt>
            </c:strLit>
          </c:cat>
          <c:val>
            <c:numRef>
              <c:f>'Summarised cost results'!$D$8</c:f>
              <c:numCache>
                <c:formatCode>#,##0.0</c:formatCode>
                <c:ptCount val="1"/>
                <c:pt idx="0">
                  <c:v>21.086591820231984</c:v>
                </c:pt>
              </c:numCache>
            </c:numRef>
          </c:val>
        </c:ser>
        <c:ser>
          <c:idx val="4"/>
          <c:order val="4"/>
          <c:tx>
            <c:strRef>
              <c:f>'Summarised cost results'!$B$9:$C$9</c:f>
              <c:strCache>
                <c:ptCount val="2"/>
                <c:pt idx="0">
                  <c:v>Utilities</c:v>
                </c:pt>
                <c:pt idx="1">
                  <c:v>Fixed OPEX</c:v>
                </c:pt>
              </c:strCache>
            </c:strRef>
          </c:tx>
          <c:spPr>
            <a:solidFill>
              <a:schemeClr val="accent5"/>
            </a:solidFill>
            <a:ln>
              <a:noFill/>
            </a:ln>
            <a:effectLst/>
          </c:spPr>
          <c:invertIfNegative val="0"/>
          <c:cat>
            <c:strLit>
              <c:ptCount val="1"/>
              <c:pt idx="0">
                <c:v>Detailed breakdown</c:v>
              </c:pt>
            </c:strLit>
          </c:cat>
          <c:val>
            <c:numRef>
              <c:f>'Summarised cost results'!$D$9</c:f>
              <c:numCache>
                <c:formatCode>#,##0.0</c:formatCode>
                <c:ptCount val="1"/>
                <c:pt idx="0">
                  <c:v>9.745030773628157</c:v>
                </c:pt>
              </c:numCache>
            </c:numRef>
          </c:val>
        </c:ser>
        <c:ser>
          <c:idx val="5"/>
          <c:order val="5"/>
          <c:tx>
            <c:strRef>
              <c:f>'Summarised cost results'!$B$11:$C$11</c:f>
              <c:strCache>
                <c:ptCount val="2"/>
                <c:pt idx="0">
                  <c:v>Utilities</c:v>
                </c:pt>
                <c:pt idx="1">
                  <c:v>Other variable OPEX</c:v>
                </c:pt>
              </c:strCache>
            </c:strRef>
          </c:tx>
          <c:spPr>
            <a:solidFill>
              <a:schemeClr val="accent6"/>
            </a:solidFill>
            <a:ln>
              <a:noFill/>
            </a:ln>
            <a:effectLst/>
          </c:spPr>
          <c:invertIfNegative val="0"/>
          <c:cat>
            <c:strLit>
              <c:ptCount val="1"/>
              <c:pt idx="0">
                <c:v>Detailed breakdown</c:v>
              </c:pt>
            </c:strLit>
          </c:cat>
          <c:val>
            <c:numRef>
              <c:f>'Summarised cost results'!$D$11</c:f>
              <c:numCache>
                <c:formatCode>#,##0.0</c:formatCode>
                <c:ptCount val="1"/>
                <c:pt idx="0">
                  <c:v>0.43501665160651248</c:v>
                </c:pt>
              </c:numCache>
            </c:numRef>
          </c:val>
        </c:ser>
        <c:ser>
          <c:idx val="9"/>
          <c:order val="6"/>
          <c:tx>
            <c:strRef>
              <c:f>'Summarised cost results'!$F$4:$G$4</c:f>
              <c:strCache>
                <c:ptCount val="2"/>
                <c:pt idx="0">
                  <c:v>Utilities</c:v>
                </c:pt>
                <c:pt idx="1">
                  <c:v>Natural gas cost</c:v>
                </c:pt>
              </c:strCache>
            </c:strRef>
          </c:tx>
          <c:spPr>
            <a:solidFill>
              <a:srgbClr val="00B050"/>
            </a:solidFill>
            <a:ln>
              <a:noFill/>
            </a:ln>
            <a:effectLst/>
          </c:spPr>
          <c:invertIfNegative val="0"/>
          <c:val>
            <c:numRef>
              <c:f>'Summarised cost results'!$H$4</c:f>
              <c:numCache>
                <c:formatCode>0.0</c:formatCode>
                <c:ptCount val="1"/>
                <c:pt idx="0">
                  <c:v>55.541361638572681</c:v>
                </c:pt>
              </c:numCache>
            </c:numRef>
          </c:val>
        </c:ser>
        <c:ser>
          <c:idx val="0"/>
          <c:order val="7"/>
          <c:tx>
            <c:strRef>
              <c:f>'Summarised cost results'!$B$4:$C$4</c:f>
              <c:strCache>
                <c:ptCount val="2"/>
                <c:pt idx="1">
                  <c:v>CAPEX</c:v>
                </c:pt>
              </c:strCache>
            </c:strRef>
          </c:tx>
          <c:spPr>
            <a:solidFill>
              <a:schemeClr val="accent1"/>
            </a:solidFill>
            <a:ln>
              <a:noFill/>
            </a:ln>
            <a:effectLst/>
          </c:spPr>
          <c:invertIfNegative val="0"/>
          <c:cat>
            <c:strLit>
              <c:ptCount val="1"/>
              <c:pt idx="0">
                <c:v>Detailed breakdown</c:v>
              </c:pt>
            </c:strLit>
          </c:cat>
          <c:val>
            <c:numRef>
              <c:f>'Summarised cost results'!$D$4</c:f>
              <c:numCache>
                <c:formatCode>#,##0.0</c:formatCode>
                <c:ptCount val="1"/>
                <c:pt idx="0">
                  <c:v>26.751573644777977</c:v>
                </c:pt>
              </c:numCache>
            </c:numRef>
          </c:val>
        </c:ser>
        <c:ser>
          <c:idx val="1"/>
          <c:order val="8"/>
          <c:tx>
            <c:strRef>
              <c:f>'Summarised cost results'!$B$5:$C$5</c:f>
              <c:strCache>
                <c:ptCount val="2"/>
                <c:pt idx="1">
                  <c:v>Fixed OPEX</c:v>
                </c:pt>
              </c:strCache>
            </c:strRef>
          </c:tx>
          <c:spPr>
            <a:solidFill>
              <a:schemeClr val="accent2"/>
            </a:solidFill>
            <a:ln>
              <a:noFill/>
            </a:ln>
            <a:effectLst/>
          </c:spPr>
          <c:invertIfNegative val="0"/>
          <c:cat>
            <c:strLit>
              <c:ptCount val="1"/>
              <c:pt idx="0">
                <c:v>Detailed breakdown</c:v>
              </c:pt>
            </c:strLit>
          </c:cat>
          <c:val>
            <c:numRef>
              <c:f>'Summarised cost results'!$D$5</c:f>
              <c:numCache>
                <c:formatCode>#,##0.0</c:formatCode>
                <c:ptCount val="1"/>
                <c:pt idx="0">
                  <c:v>10.729865138103102</c:v>
                </c:pt>
              </c:numCache>
            </c:numRef>
          </c:val>
        </c:ser>
        <c:ser>
          <c:idx val="2"/>
          <c:order val="9"/>
          <c:tx>
            <c:strRef>
              <c:f>'Summarised cost results'!$B$6:$C$6</c:f>
              <c:strCache>
                <c:ptCount val="2"/>
                <c:pt idx="1">
                  <c:v>Variable OPEX</c:v>
                </c:pt>
              </c:strCache>
            </c:strRef>
          </c:tx>
          <c:spPr>
            <a:solidFill>
              <a:schemeClr val="accent3"/>
            </a:solidFill>
            <a:ln>
              <a:noFill/>
            </a:ln>
            <a:effectLst/>
          </c:spPr>
          <c:invertIfNegative val="0"/>
          <c:cat>
            <c:strLit>
              <c:ptCount val="1"/>
              <c:pt idx="0">
                <c:v>Detailed breakdown</c:v>
              </c:pt>
            </c:strLit>
          </c:cat>
          <c:val>
            <c:numRef>
              <c:f>'Summarised cost results'!$D$6</c:f>
              <c:numCache>
                <c:formatCode>#,##0.0</c:formatCode>
                <c:ptCount val="1"/>
                <c:pt idx="0">
                  <c:v>7.9041711501952685</c:v>
                </c:pt>
              </c:numCache>
            </c:numRef>
          </c:val>
        </c:ser>
        <c:dLbls>
          <c:showLegendKey val="0"/>
          <c:showVal val="0"/>
          <c:showCatName val="0"/>
          <c:showSerName val="0"/>
          <c:showPercent val="0"/>
          <c:showBubbleSize val="0"/>
        </c:dLbls>
        <c:gapWidth val="150"/>
        <c:overlap val="100"/>
        <c:axId val="508307920"/>
        <c:axId val="508309096"/>
      </c:barChart>
      <c:catAx>
        <c:axId val="50830792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508309096"/>
        <c:crosses val="autoZero"/>
        <c:auto val="1"/>
        <c:lblAlgn val="ctr"/>
        <c:lblOffset val="100"/>
        <c:noMultiLvlLbl val="0"/>
      </c:catAx>
      <c:valAx>
        <c:axId val="50830909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1.2780348832877996E-3"/>
              <c:y val="0.168013298337707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508307920"/>
        <c:crosses val="autoZero"/>
        <c:crossBetween val="between"/>
      </c:valAx>
      <c:spPr>
        <a:noFill/>
        <a:ln>
          <a:noFill/>
        </a:ln>
        <a:effectLst/>
      </c:spPr>
    </c:plotArea>
    <c:legend>
      <c:legendPos val="r"/>
      <c:layout>
        <c:manualLayout>
          <c:xMode val="edge"/>
          <c:yMode val="edge"/>
          <c:x val="0.45033612277679097"/>
          <c:y val="0.22589886264216974"/>
          <c:w val="0.54504472397277404"/>
          <c:h val="0.569656692913385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861908460886656"/>
          <c:y val="5.0925925925925923E-2"/>
          <c:w val="0.36774895632661031"/>
          <c:h val="0.8416746864975212"/>
        </c:manualLayout>
      </c:layout>
      <c:barChart>
        <c:barDir val="col"/>
        <c:grouping val="stacked"/>
        <c:varyColors val="0"/>
        <c:ser>
          <c:idx val="0"/>
          <c:order val="0"/>
          <c:tx>
            <c:strRef>
              <c:f>'Summarised cost results'!$B$13</c:f>
              <c:strCache>
                <c:ptCount val="1"/>
                <c:pt idx="0">
                  <c:v>Interconnecting</c:v>
                </c:pt>
              </c:strCache>
            </c:strRef>
          </c:tx>
          <c:spPr>
            <a:solidFill>
              <a:schemeClr val="accent1"/>
            </a:solidFill>
            <a:ln>
              <a:noFill/>
            </a:ln>
            <a:effectLst/>
          </c:spPr>
          <c:invertIfNegative val="0"/>
          <c:cat>
            <c:strLit>
              <c:ptCount val="1"/>
              <c:pt idx="0">
                <c:v>Overall Breakdown</c:v>
              </c:pt>
            </c:strLit>
          </c:cat>
          <c:val>
            <c:numRef>
              <c:f>'Summarised cost results'!$D$13</c:f>
              <c:numCache>
                <c:formatCode>0.0</c:formatCode>
                <c:ptCount val="1"/>
                <c:pt idx="0">
                  <c:v>29.956130495609695</c:v>
                </c:pt>
              </c:numCache>
            </c:numRef>
          </c:val>
        </c:ser>
        <c:ser>
          <c:idx val="1"/>
          <c:order val="1"/>
          <c:tx>
            <c:strRef>
              <c:f>'Summarised cost results'!$B$7</c:f>
              <c:strCache>
                <c:ptCount val="1"/>
                <c:pt idx="0">
                  <c:v>Utilities</c:v>
                </c:pt>
              </c:strCache>
            </c:strRef>
          </c:tx>
          <c:spPr>
            <a:solidFill>
              <a:schemeClr val="accent2"/>
            </a:solidFill>
            <a:ln>
              <a:noFill/>
            </a:ln>
            <a:effectLst/>
          </c:spPr>
          <c:invertIfNegative val="0"/>
          <c:cat>
            <c:strLit>
              <c:ptCount val="1"/>
              <c:pt idx="0">
                <c:v>Overall Breakdown</c:v>
              </c:pt>
            </c:strLit>
          </c:cat>
          <c:val>
            <c:numRef>
              <c:f>'Summarised cost results'!$D$7</c:f>
              <c:numCache>
                <c:formatCode>0.0</c:formatCode>
                <c:ptCount val="1"/>
                <c:pt idx="0">
                  <c:v>86.808000884039345</c:v>
                </c:pt>
              </c:numCache>
            </c:numRef>
          </c:val>
        </c:ser>
        <c:ser>
          <c:idx val="2"/>
          <c:order val="2"/>
          <c:tx>
            <c:strRef>
              <c:f>'Summarised cost results'!$B$3</c:f>
              <c:strCache>
                <c:ptCount val="1"/>
                <c:pt idx="0">
                  <c:v>CO2 capture and compression</c:v>
                </c:pt>
              </c:strCache>
            </c:strRef>
          </c:tx>
          <c:spPr>
            <a:solidFill>
              <a:schemeClr val="accent3"/>
            </a:solidFill>
            <a:ln>
              <a:noFill/>
            </a:ln>
            <a:effectLst/>
          </c:spPr>
          <c:invertIfNegative val="0"/>
          <c:cat>
            <c:strLit>
              <c:ptCount val="1"/>
              <c:pt idx="0">
                <c:v>Overall Breakdown</c:v>
              </c:pt>
            </c:strLit>
          </c:cat>
          <c:val>
            <c:numRef>
              <c:f>'Summarised cost results'!$D$3</c:f>
              <c:numCache>
                <c:formatCode>0.0</c:formatCode>
                <c:ptCount val="1"/>
                <c:pt idx="0">
                  <c:v>45.385609933076346</c:v>
                </c:pt>
              </c:numCache>
            </c:numRef>
          </c:val>
        </c:ser>
        <c:dLbls>
          <c:showLegendKey val="0"/>
          <c:showVal val="0"/>
          <c:showCatName val="0"/>
          <c:showSerName val="0"/>
          <c:showPercent val="0"/>
          <c:showBubbleSize val="0"/>
        </c:dLbls>
        <c:gapWidth val="150"/>
        <c:overlap val="100"/>
        <c:axId val="508309488"/>
        <c:axId val="508309880"/>
      </c:barChart>
      <c:catAx>
        <c:axId val="50830948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508309880"/>
        <c:crosses val="autoZero"/>
        <c:auto val="1"/>
        <c:lblAlgn val="ctr"/>
        <c:lblOffset val="100"/>
        <c:noMultiLvlLbl val="0"/>
      </c:catAx>
      <c:valAx>
        <c:axId val="50830988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8.0399432829516995E-4"/>
              <c:y val="0.172457742782152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508309488"/>
        <c:crosses val="autoZero"/>
        <c:crossBetween val="between"/>
      </c:valAx>
      <c:spPr>
        <a:noFill/>
        <a:ln>
          <a:noFill/>
        </a:ln>
        <a:effectLst/>
      </c:spPr>
    </c:plotArea>
    <c:legend>
      <c:legendPos val="r"/>
      <c:layout>
        <c:manualLayout>
          <c:xMode val="edge"/>
          <c:yMode val="edge"/>
          <c:x val="0.51202923684557888"/>
          <c:y val="0.41145450568678904"/>
          <c:w val="0.48236719662910071"/>
          <c:h val="0.190979877515310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400"/>
            </a:pPr>
            <a:r>
              <a:rPr lang="en-US" sz="1400"/>
              <a:t>Sensitivity analyses on cost of retrofitting CO</a:t>
            </a:r>
            <a:r>
              <a:rPr lang="en-US" sz="1400" baseline="-25000"/>
              <a:t>2</a:t>
            </a:r>
            <a:r>
              <a:rPr lang="en-US" sz="1400"/>
              <a:t> capture ($/t</a:t>
            </a:r>
            <a:r>
              <a:rPr lang="en-US" sz="1400" baseline="-25000"/>
              <a:t>CO2,avoided</a:t>
            </a:r>
            <a:r>
              <a:rPr lang="en-US" sz="1400"/>
              <a:t>)</a:t>
            </a:r>
            <a:endParaRPr lang="nb-NO" sz="1400"/>
          </a:p>
          <a:p>
            <a:pPr algn="ctr" rtl="0">
              <a:defRPr sz="1400"/>
            </a:pPr>
            <a:endParaRPr lang="en-US" sz="1400"/>
          </a:p>
        </c:rich>
      </c:tx>
      <c:layout>
        <c:manualLayout>
          <c:xMode val="edge"/>
          <c:yMode val="edge"/>
          <c:x val="0.28341583768782486"/>
          <c:y val="0"/>
        </c:manualLayout>
      </c:layout>
      <c:overlay val="0"/>
    </c:title>
    <c:autoTitleDeleted val="0"/>
    <c:plotArea>
      <c:layout>
        <c:manualLayout>
          <c:layoutTarget val="inner"/>
          <c:xMode val="edge"/>
          <c:yMode val="edge"/>
          <c:x val="3.1178091004595742E-2"/>
          <c:y val="0.12933858267716536"/>
          <c:w val="0.94320168909785895"/>
          <c:h val="0.86493529613146181"/>
        </c:manualLayout>
      </c:layout>
      <c:barChart>
        <c:barDir val="bar"/>
        <c:grouping val="stacked"/>
        <c:varyColors val="0"/>
        <c:ser>
          <c:idx val="0"/>
          <c:order val="0"/>
          <c:tx>
            <c:strRef>
              <c:f>'Sensitivity analyses'!$J$3</c:f>
              <c:strCache>
                <c:ptCount val="1"/>
                <c:pt idx="0">
                  <c:v>Minimum value</c:v>
                </c:pt>
              </c:strCache>
            </c:strRef>
          </c:tx>
          <c:spPr>
            <a:noFill/>
            <a:ln>
              <a:no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analyses'!$J$5:$J$16</c:f>
              <c:numCache>
                <c:formatCode>0.0</c:formatCode>
                <c:ptCount val="12"/>
                <c:pt idx="0">
                  <c:v>151.22691396500409</c:v>
                </c:pt>
                <c:pt idx="1">
                  <c:v>157.05967273521691</c:v>
                </c:pt>
                <c:pt idx="2">
                  <c:v>145.48733282115359</c:v>
                </c:pt>
                <c:pt idx="3">
                  <c:v>160.48190375236501</c:v>
                </c:pt>
                <c:pt idx="4">
                  <c:v>148.53405833280249</c:v>
                </c:pt>
                <c:pt idx="5">
                  <c:v>136.10734104751359</c:v>
                </c:pt>
                <c:pt idx="6">
                  <c:v>153.16290216404246</c:v>
                </c:pt>
                <c:pt idx="7">
                  <c:v>153.19534712697231</c:v>
                </c:pt>
                <c:pt idx="8">
                  <c:v>129.02405510960799</c:v>
                </c:pt>
                <c:pt idx="9">
                  <c:v>154.5174852569852</c:v>
                </c:pt>
                <c:pt idx="10">
                  <c:v>141.00275870288766</c:v>
                </c:pt>
                <c:pt idx="11">
                  <c:v>159.1571858749935</c:v>
                </c:pt>
              </c:numCache>
            </c:numRef>
          </c:val>
        </c:ser>
        <c:ser>
          <c:idx val="1"/>
          <c:order val="1"/>
          <c:tx>
            <c:v>Increase of the parameter</c:v>
          </c:tx>
          <c:spPr>
            <a:solidFill>
              <a:schemeClr val="accent5">
                <a:lumMod val="60000"/>
                <a:lumOff val="40000"/>
              </a:schemeClr>
            </a:solidFill>
            <a:ln w="31750">
              <a:solidFill>
                <a:schemeClr val="accent5"/>
              </a:solid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analyses'!$K$5:$K$16</c:f>
              <c:numCache>
                <c:formatCode>0</c:formatCode>
                <c:ptCount val="12"/>
                <c:pt idx="0">
                  <c:v>36.409424492404298</c:v>
                </c:pt>
                <c:pt idx="1">
                  <c:v>10.180137155016951</c:v>
                </c:pt>
                <c:pt idx="2">
                  <c:v>33.324816983143592</c:v>
                </c:pt>
                <c:pt idx="3">
                  <c:v>3.3356751207207367</c:v>
                </c:pt>
                <c:pt idx="4">
                  <c:v>27.231365959845789</c:v>
                </c:pt>
                <c:pt idx="5">
                  <c:v>52.084800530423593</c:v>
                </c:pt>
                <c:pt idx="6">
                  <c:v>17.973678297365836</c:v>
                </c:pt>
                <c:pt idx="7">
                  <c:v>8.954394185753074</c:v>
                </c:pt>
                <c:pt idx="8">
                  <c:v>33.125686203117397</c:v>
                </c:pt>
                <c:pt idx="9">
                  <c:v>50.65774173818167</c:v>
                </c:pt>
                <c:pt idx="10">
                  <c:v>43.897433161657005</c:v>
                </c:pt>
                <c:pt idx="11">
                  <c:v>29.925554377318633</c:v>
                </c:pt>
              </c:numCache>
            </c:numRef>
          </c:val>
        </c:ser>
        <c:dLbls>
          <c:showLegendKey val="0"/>
          <c:showVal val="0"/>
          <c:showCatName val="0"/>
          <c:showSerName val="0"/>
          <c:showPercent val="0"/>
          <c:showBubbleSize val="0"/>
        </c:dLbls>
        <c:gapWidth val="55"/>
        <c:overlap val="100"/>
        <c:axId val="508307136"/>
        <c:axId val="508306744"/>
      </c:barChart>
      <c:catAx>
        <c:axId val="508307136"/>
        <c:scaling>
          <c:orientation val="maxMin"/>
        </c:scaling>
        <c:delete val="0"/>
        <c:axPos val="l"/>
        <c:numFmt formatCode="General" sourceLinked="1"/>
        <c:majorTickMark val="none"/>
        <c:minorTickMark val="none"/>
        <c:tickLblPos val="nextTo"/>
        <c:spPr>
          <a:ln>
            <a:solidFill>
              <a:schemeClr val="tx1"/>
            </a:solidFill>
          </a:ln>
        </c:spPr>
        <c:txPr>
          <a:bodyPr/>
          <a:lstStyle/>
          <a:p>
            <a:pPr>
              <a:defRPr sz="1200"/>
            </a:pPr>
            <a:endParaRPr lang="nb-NO"/>
          </a:p>
        </c:txPr>
        <c:crossAx val="508306744"/>
        <c:crosses val="autoZero"/>
        <c:auto val="1"/>
        <c:lblAlgn val="ctr"/>
        <c:lblOffset val="100"/>
        <c:noMultiLvlLbl val="0"/>
      </c:catAx>
      <c:valAx>
        <c:axId val="508306744"/>
        <c:scaling>
          <c:orientation val="minMax"/>
        </c:scaling>
        <c:delete val="0"/>
        <c:axPos val="t"/>
        <c:numFmt formatCode="#,##0" sourceLinked="0"/>
        <c:majorTickMark val="out"/>
        <c:minorTickMark val="none"/>
        <c:tickLblPos val="nextTo"/>
        <c:spPr>
          <a:ln>
            <a:solidFill>
              <a:schemeClr val="tx1"/>
            </a:solidFill>
          </a:ln>
        </c:spPr>
        <c:txPr>
          <a:bodyPr/>
          <a:lstStyle/>
          <a:p>
            <a:pPr>
              <a:defRPr sz="1200"/>
            </a:pPr>
            <a:endParaRPr lang="nb-NO"/>
          </a:p>
        </c:txPr>
        <c:crossAx val="508307136"/>
        <c:crosses val="autoZero"/>
        <c:crossBetween val="between"/>
      </c:valAx>
    </c:plotArea>
    <c:plotVisOnly val="1"/>
    <c:dispBlanksAs val="gap"/>
    <c:showDLblsOverMax val="0"/>
  </c:chart>
  <c:spPr>
    <a:ln>
      <a:noFill/>
    </a:ln>
  </c:spPr>
  <c:txPr>
    <a:bodyPr/>
    <a:lstStyle/>
    <a:p>
      <a:pPr>
        <a:defRPr sz="800"/>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sintef.no/home/SINTEF-Energy-Research/" TargetMode="External"/><Relationship Id="rId1" Type="http://schemas.openxmlformats.org/officeDocument/2006/relationships/image" Target="../media/image1.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39</xdr:col>
      <xdr:colOff>152400</xdr:colOff>
      <xdr:row>66</xdr:row>
      <xdr:rowOff>68580</xdr:rowOff>
    </xdr:to>
    <xdr:sp macro="" textlink="">
      <xdr:nvSpPr>
        <xdr:cNvPr id="3" name="Rectangle 2"/>
        <xdr:cNvSpPr/>
      </xdr:nvSpPr>
      <xdr:spPr>
        <a:xfrm>
          <a:off x="0" y="0"/>
          <a:ext cx="23183850" cy="1264158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9</xdr:col>
      <xdr:colOff>51435</xdr:colOff>
      <xdr:row>1</xdr:row>
      <xdr:rowOff>118110</xdr:rowOff>
    </xdr:from>
    <xdr:to>
      <xdr:col>20</xdr:col>
      <xdr:colOff>28575</xdr:colOff>
      <xdr:row>7</xdr:row>
      <xdr:rowOff>3810</xdr:rowOff>
    </xdr:to>
    <xdr:sp macro="" textlink="">
      <xdr:nvSpPr>
        <xdr:cNvPr id="4" name="TextBox 3"/>
        <xdr:cNvSpPr txBox="1"/>
      </xdr:nvSpPr>
      <xdr:spPr>
        <a:xfrm>
          <a:off x="5366385" y="308610"/>
          <a:ext cx="647319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b-NO" sz="2400" b="1">
              <a:solidFill>
                <a:sysClr val="windowText" lastClr="000000"/>
              </a:solidFill>
            </a:rPr>
            <a:t>Spreadsheet </a:t>
          </a:r>
          <a:r>
            <a:rPr lang="nb-NO" sz="2400" b="1"/>
            <a:t>for evaluation of cost of retrofitting CO</a:t>
          </a:r>
          <a:r>
            <a:rPr lang="nb-NO" sz="2400" b="1" baseline="-25000"/>
            <a:t>2</a:t>
          </a:r>
          <a:r>
            <a:rPr lang="nb-NO" sz="2400" b="1"/>
            <a:t> capture from refineries</a:t>
          </a:r>
          <a:endParaRPr lang="nb-NO" sz="2000"/>
        </a:p>
      </xdr:txBody>
    </xdr:sp>
    <xdr:clientData/>
  </xdr:twoCellAnchor>
  <xdr:twoCellAnchor>
    <xdr:from>
      <xdr:col>0</xdr:col>
      <xdr:colOff>0</xdr:colOff>
      <xdr:row>8</xdr:row>
      <xdr:rowOff>28575</xdr:rowOff>
    </xdr:from>
    <xdr:to>
      <xdr:col>31</xdr:col>
      <xdr:colOff>314324</xdr:colOff>
      <xdr:row>67</xdr:row>
      <xdr:rowOff>95250</xdr:rowOff>
    </xdr:to>
    <mc:AlternateContent xmlns:mc="http://schemas.openxmlformats.org/markup-compatibility/2006" xmlns:a14="http://schemas.microsoft.com/office/drawing/2010/main">
      <mc:Choice Requires="a14">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14:m>
                <m:oMath xmlns:m="http://schemas.openxmlformats.org/officeDocument/2006/math">
                  <m:r>
                    <a:rPr lang="en-GB" sz="1100" b="0" i="0">
                      <a:solidFill>
                        <a:schemeClr val="dk1"/>
                      </a:solidFill>
                      <a:effectLst/>
                      <a:latin typeface="Cambria Math" panose="02040503050406030204" pitchFamily="18" charset="0"/>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cost</m:t>
                  </m:r>
                  <m:r>
                    <m:rPr>
                      <m:nor/>
                    </m:rPr>
                    <a:rPr lang="en-US" sz="1100">
                      <a:solidFill>
                        <a:schemeClr val="dk1"/>
                      </a:solidFill>
                      <a:effectLst/>
                      <a:latin typeface="+mn-lt"/>
                      <a:ea typeface="+mn-ea"/>
                      <a:cs typeface="+mn-cs"/>
                    </a:rPr>
                    <m:t> =</m:t>
                  </m:r>
                  <m:r>
                    <a:rPr lang="en-US" sz="1100" i="1">
                      <a:solidFill>
                        <a:schemeClr val="dk1"/>
                      </a:solidFill>
                      <a:effectLst/>
                      <a:latin typeface="Cambria Math" panose="02040503050406030204" pitchFamily="18" charset="0"/>
                      <a:ea typeface="+mn-ea"/>
                      <a:cs typeface="+mn-cs"/>
                    </a:rPr>
                    <m:t> </m:t>
                  </m:r>
                  <m:f>
                    <m:fPr>
                      <m:ctrlPr>
                        <a:rPr lang="nb-NO" sz="1100" i="1">
                          <a:solidFill>
                            <a:schemeClr val="dk1"/>
                          </a:solidFill>
                          <a:effectLst/>
                          <a:latin typeface="Cambria Math" panose="02040503050406030204" pitchFamily="18" charset="0"/>
                          <a:ea typeface="+mn-ea"/>
                          <a:cs typeface="+mn-cs"/>
                        </a:rPr>
                      </m:ctrlPr>
                    </m:fPr>
                    <m:num>
                      <m:r>
                        <m:rPr>
                          <m:nor/>
                        </m:rPr>
                        <a:rPr lang="en-US" sz="1100">
                          <a:solidFill>
                            <a:schemeClr val="dk1"/>
                          </a:solidFill>
                          <a:effectLst/>
                          <a:latin typeface="+mn-lt"/>
                          <a:ea typeface="+mn-ea"/>
                          <a:cs typeface="+mn-cs"/>
                        </a:rPr>
                        <m:t>Annualized</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CAPEX</m:t>
                      </m:r>
                      <m:r>
                        <m:rPr>
                          <m:nor/>
                        </m:rPr>
                        <a:rPr lang="en-US" sz="1100">
                          <a:solidFill>
                            <a:schemeClr val="dk1"/>
                          </a:solidFill>
                          <a:effectLst/>
                          <a:latin typeface="+mn-lt"/>
                          <a:ea typeface="+mn-ea"/>
                          <a:cs typeface="+mn-cs"/>
                        </a:rPr>
                        <m:t> + </m:t>
                      </m:r>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OPEX</m:t>
                      </m:r>
                    </m:num>
                    <m:den>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amount</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of</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den>
                  </m:f>
                </m:oMath>
              </a14:m>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Choice>
      <mc:Fallback xmlns="">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r>
                <a:rPr lang="en-GB" sz="1100" b="0" i="0">
                  <a:solidFill>
                    <a:schemeClr val="dk1"/>
                  </a:solidFill>
                  <a:effectLst/>
                  <a:latin typeface="Cambria Math" panose="02040503050406030204" pitchFamily="18" charset="0"/>
                  <a:ea typeface="+mn-ea"/>
                  <a:cs typeface="+mn-cs"/>
                </a:rPr>
                <a:t> </a:t>
              </a:r>
              <a:r>
                <a:rPr lang="en-US" sz="1100" b="0" i="0">
                  <a:solidFill>
                    <a:schemeClr val="dk1"/>
                  </a:solidFill>
                  <a:effectLst/>
                  <a:latin typeface="Cambria Math" panose="02040503050406030204" pitchFamily="18" charset="0"/>
                  <a:ea typeface="+mn-ea"/>
                  <a:cs typeface="+mn-cs"/>
                </a:rPr>
                <a:t>"</a:t>
              </a:r>
              <a:r>
                <a:rPr lang="en-US" sz="1100" i="0">
                  <a:solidFill>
                    <a:schemeClr val="dk1"/>
                  </a:solidFill>
                  <a:effectLst/>
                  <a:latin typeface="Cambria Math" panose="02040503050406030204" pitchFamily="18" charset="0"/>
                  <a:ea typeface="+mn-ea"/>
                  <a:cs typeface="+mn-cs"/>
                </a:rPr>
                <a:t>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a:t>
              </a:r>
              <a:r>
                <a:rPr lang="en-US" sz="1100" i="0">
                  <a:solidFill>
                    <a:schemeClr val="dk1"/>
                  </a:solidFill>
                  <a:effectLst/>
                  <a:latin typeface="Cambria Math" panose="02040503050406030204" pitchFamily="18" charset="0"/>
                  <a:ea typeface="+mn-ea"/>
                  <a:cs typeface="+mn-cs"/>
                </a:rPr>
                <a:t>" avoided cost =" </a:t>
              </a:r>
              <a:r>
                <a:rPr lang="en-US" sz="1100" i="0">
                  <a:solidFill>
                    <a:schemeClr val="dk1"/>
                  </a:solidFill>
                  <a:effectLst/>
                  <a:latin typeface="+mn-lt"/>
                  <a:ea typeface="+mn-ea"/>
                  <a:cs typeface="+mn-cs"/>
                </a:rPr>
                <a:t> "Annualized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CAPEX + Annual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OPEX</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r>
                <a:rPr lang="en-US" sz="1100" i="0">
                  <a:solidFill>
                    <a:schemeClr val="dk1"/>
                  </a:solidFill>
                  <a:effectLst/>
                  <a:latin typeface="+mn-lt"/>
                  <a:ea typeface="+mn-ea"/>
                  <a:cs typeface="+mn-cs"/>
                </a:rPr>
                <a:t>"Annual amount of 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 avoided</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Fallback>
    </mc:AlternateContent>
    <xdr:clientData/>
  </xdr:twoCellAnchor>
  <xdr:oneCellAnchor>
    <xdr:from>
      <xdr:col>0</xdr:col>
      <xdr:colOff>361951</xdr:colOff>
      <xdr:row>1</xdr:row>
      <xdr:rowOff>140970</xdr:rowOff>
    </xdr:from>
    <xdr:ext cx="3095624" cy="644955"/>
    <xdr:pic>
      <xdr:nvPicPr>
        <xdr:cNvPr id="7" name="il_fi" descr="http://supplier.windcluster.no/assets/images/logos/sintef.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1" y="331470"/>
          <a:ext cx="3095624" cy="6449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365760</xdr:colOff>
      <xdr:row>5</xdr:row>
      <xdr:rowOff>57150</xdr:rowOff>
    </xdr:from>
    <xdr:to>
      <xdr:col>5</xdr:col>
      <xdr:colOff>411480</xdr:colOff>
      <xdr:row>6</xdr:row>
      <xdr:rowOff>163830</xdr:rowOff>
    </xdr:to>
    <xdr:sp macro="" textlink="">
      <xdr:nvSpPr>
        <xdr:cNvPr id="8" name="TextBox 7">
          <a:hlinkClick xmlns:r="http://schemas.openxmlformats.org/officeDocument/2006/relationships" r:id="rId2"/>
        </xdr:cNvPr>
        <xdr:cNvSpPr txBox="1"/>
      </xdr:nvSpPr>
      <xdr:spPr>
        <a:xfrm>
          <a:off x="365760" y="1009650"/>
          <a:ext cx="2998470" cy="297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000" b="0">
              <a:solidFill>
                <a:srgbClr val="002060"/>
              </a:solidFill>
            </a:rPr>
            <a:t>http://www.sintef.no/home/SINTEF-Energy-Research/</a:t>
          </a:r>
        </a:p>
        <a:p>
          <a:pPr algn="l"/>
          <a:endParaRPr lang="nb-NO" sz="1000" b="0"/>
        </a:p>
      </xdr:txBody>
    </xdr:sp>
    <xdr:clientData/>
  </xdr:twoCellAnchor>
  <xdr:twoCellAnchor editAs="oneCell">
    <xdr:from>
      <xdr:col>27</xdr:col>
      <xdr:colOff>133350</xdr:colOff>
      <xdr:row>1</xdr:row>
      <xdr:rowOff>123825</xdr:rowOff>
    </xdr:from>
    <xdr:to>
      <xdr:col>29</xdr:col>
      <xdr:colOff>347306</xdr:colOff>
      <xdr:row>7</xdr:row>
      <xdr:rowOff>2363</xdr:rowOff>
    </xdr:to>
    <xdr:pic>
      <xdr:nvPicPr>
        <xdr:cNvPr id="9" name="Picture 8"/>
        <xdr:cNvPicPr>
          <a:picLocks noChangeAspect="1"/>
        </xdr:cNvPicPr>
      </xdr:nvPicPr>
      <xdr:blipFill>
        <a:blip xmlns:r="http://schemas.openxmlformats.org/officeDocument/2006/relationships" r:embed="rId3"/>
        <a:stretch>
          <a:fillRect/>
        </a:stretch>
      </xdr:blipFill>
      <xdr:spPr>
        <a:xfrm>
          <a:off x="16078200" y="314325"/>
          <a:ext cx="1395056" cy="1021538"/>
        </a:xfrm>
        <a:prstGeom prst="rect">
          <a:avLst/>
        </a:prstGeom>
      </xdr:spPr>
    </xdr:pic>
    <xdr:clientData/>
  </xdr:twoCellAnchor>
  <xdr:twoCellAnchor editAs="oneCell">
    <xdr:from>
      <xdr:col>26</xdr:col>
      <xdr:colOff>247650</xdr:colOff>
      <xdr:row>1</xdr:row>
      <xdr:rowOff>123825</xdr:rowOff>
    </xdr:from>
    <xdr:to>
      <xdr:col>29</xdr:col>
      <xdr:colOff>340167</xdr:colOff>
      <xdr:row>6</xdr:row>
      <xdr:rowOff>186908</xdr:rowOff>
    </xdr:to>
    <xdr:pic>
      <xdr:nvPicPr>
        <xdr:cNvPr id="10" name="Picture 9"/>
        <xdr:cNvPicPr>
          <a:picLocks noChangeAspect="1"/>
        </xdr:cNvPicPr>
      </xdr:nvPicPr>
      <xdr:blipFill>
        <a:blip xmlns:r="http://schemas.openxmlformats.org/officeDocument/2006/relationships" r:embed="rId4"/>
        <a:stretch>
          <a:fillRect/>
        </a:stretch>
      </xdr:blipFill>
      <xdr:spPr>
        <a:xfrm>
          <a:off x="15601950" y="314325"/>
          <a:ext cx="1864167" cy="1015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19269</xdr:colOff>
      <xdr:row>1</xdr:row>
      <xdr:rowOff>447057</xdr:rowOff>
    </xdr:from>
    <xdr:to>
      <xdr:col>17</xdr:col>
      <xdr:colOff>346361</xdr:colOff>
      <xdr:row>16</xdr:row>
      <xdr:rowOff>178625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2550</xdr:colOff>
      <xdr:row>1</xdr:row>
      <xdr:rowOff>457076</xdr:rowOff>
    </xdr:from>
    <xdr:to>
      <xdr:col>10</xdr:col>
      <xdr:colOff>259774</xdr:colOff>
      <xdr:row>16</xdr:row>
      <xdr:rowOff>188644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9458325" y="276225"/>
    <xdr:ext cx="7305675" cy="43815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E11"/>
  <sheetViews>
    <sheetView tabSelected="1" workbookViewId="0">
      <selection activeCell="A5" sqref="A5"/>
    </sheetView>
  </sheetViews>
  <sheetFormatPr defaultColWidth="8.85546875" defaultRowHeight="15" x14ac:dyDescent="0.25"/>
  <sheetData>
    <row r="11" spans="5:5" x14ac:dyDescent="0.25">
      <c r="E11" s="113"/>
    </row>
  </sheetData>
  <sheetProtection algorithmName="SHA-512" hashValue="01Cnmnc0hf4zBEC5FRKhYTfTlU4BiemPWyrnLC7QXxCH++BUm0EWl9slq1fsjXUvR1fsX6L3V4EQ+r6lJk5BWA==" saltValue="jy0aMcuHqJt2I3D2je1su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3:O124"/>
  <sheetViews>
    <sheetView zoomScaleNormal="100" workbookViewId="0">
      <selection activeCell="N101" sqref="N101"/>
    </sheetView>
  </sheetViews>
  <sheetFormatPr defaultRowHeight="15" x14ac:dyDescent="0.25"/>
  <cols>
    <col min="2" max="2" width="9.85546875" customWidth="1"/>
    <col min="4" max="4" width="9.5703125" customWidth="1"/>
    <col min="5" max="5" width="9.7109375" customWidth="1"/>
    <col min="6" max="6" width="13.42578125" customWidth="1"/>
    <col min="7" max="7" width="12.42578125" customWidth="1"/>
    <col min="10" max="10" width="10.5703125" customWidth="1"/>
    <col min="11" max="11" width="7.28515625" customWidth="1"/>
    <col min="12" max="12" width="7.7109375" customWidth="1"/>
    <col min="15" max="15" width="0" hidden="1" customWidth="1"/>
  </cols>
  <sheetData>
    <row r="3" spans="1:8" ht="15.75" x14ac:dyDescent="0.25">
      <c r="A3" s="101" t="s">
        <v>129</v>
      </c>
    </row>
    <row r="4" spans="1:8" x14ac:dyDescent="0.25">
      <c r="A4" s="2"/>
    </row>
    <row r="5" spans="1:8" x14ac:dyDescent="0.25">
      <c r="B5" s="146" t="s">
        <v>155</v>
      </c>
      <c r="C5" s="146"/>
      <c r="D5" s="146"/>
      <c r="E5" s="123">
        <v>8</v>
      </c>
      <c r="F5" s="102" t="s">
        <v>28</v>
      </c>
    </row>
    <row r="6" spans="1:8" x14ac:dyDescent="0.25">
      <c r="B6" s="146" t="s">
        <v>27</v>
      </c>
      <c r="C6" s="146"/>
      <c r="D6" s="146"/>
      <c r="E6" s="123">
        <v>4</v>
      </c>
      <c r="F6" s="102" t="s">
        <v>29</v>
      </c>
    </row>
    <row r="7" spans="1:8" x14ac:dyDescent="0.25">
      <c r="B7" s="146" t="s">
        <v>25</v>
      </c>
      <c r="C7" s="146"/>
      <c r="D7" s="146"/>
      <c r="E7" s="123">
        <v>25</v>
      </c>
      <c r="F7" s="102" t="s">
        <v>115</v>
      </c>
    </row>
    <row r="8" spans="1:8" ht="12.75" customHeight="1" x14ac:dyDescent="0.25">
      <c r="B8" s="146" t="s">
        <v>30</v>
      </c>
      <c r="C8" s="146"/>
      <c r="D8" s="146"/>
      <c r="E8" s="72">
        <f>'Discount factors'!D59</f>
        <v>11.528758283675661</v>
      </c>
      <c r="F8" s="102" t="s">
        <v>29</v>
      </c>
      <c r="G8" t="s">
        <v>165</v>
      </c>
    </row>
    <row r="9" spans="1:8" x14ac:dyDescent="0.25">
      <c r="B9" s="146" t="s">
        <v>161</v>
      </c>
      <c r="C9" s="146"/>
      <c r="D9" s="146"/>
      <c r="E9" s="109">
        <f>1/E8</f>
        <v>8.6739610233303857E-2</v>
      </c>
      <c r="F9" s="102" t="s">
        <v>104</v>
      </c>
    </row>
    <row r="10" spans="1:8" x14ac:dyDescent="0.25">
      <c r="B10" s="103"/>
      <c r="C10" s="103"/>
      <c r="D10" s="103"/>
      <c r="E10" s="104"/>
      <c r="F10" s="104"/>
    </row>
    <row r="11" spans="1:8" x14ac:dyDescent="0.25">
      <c r="B11" s="105" t="s">
        <v>103</v>
      </c>
      <c r="C11" s="105"/>
      <c r="D11" s="105"/>
      <c r="E11" s="124">
        <f>350*24/8760*100</f>
        <v>95.890410958904098</v>
      </c>
      <c r="F11" s="102" t="s">
        <v>28</v>
      </c>
    </row>
    <row r="12" spans="1:8" x14ac:dyDescent="0.25">
      <c r="A12" s="2"/>
      <c r="B12" s="105" t="s">
        <v>96</v>
      </c>
      <c r="C12" s="105"/>
      <c r="D12" s="105"/>
      <c r="E12" s="81">
        <f>8760*E11/100</f>
        <v>8399.9999999999982</v>
      </c>
      <c r="F12" s="102" t="s">
        <v>99</v>
      </c>
    </row>
    <row r="13" spans="1:8" x14ac:dyDescent="0.25">
      <c r="A13" s="2"/>
    </row>
    <row r="14" spans="1:8" ht="18" x14ac:dyDescent="0.35">
      <c r="A14" s="2" t="s">
        <v>100</v>
      </c>
    </row>
    <row r="16" spans="1:8" ht="18" x14ac:dyDescent="0.35">
      <c r="B16" s="140" t="s">
        <v>119</v>
      </c>
      <c r="C16" s="141"/>
      <c r="D16" s="141"/>
      <c r="E16" s="141"/>
      <c r="F16" s="125">
        <v>105.48456759450046</v>
      </c>
      <c r="G16" s="5" t="s">
        <v>97</v>
      </c>
      <c r="H16" t="s">
        <v>162</v>
      </c>
    </row>
    <row r="17" spans="1:12" ht="18" x14ac:dyDescent="0.35">
      <c r="B17" s="140" t="s">
        <v>98</v>
      </c>
      <c r="C17" s="141"/>
      <c r="D17" s="141"/>
      <c r="E17" s="141"/>
      <c r="F17" s="125">
        <v>34.062014261752182</v>
      </c>
      <c r="G17" s="5" t="s">
        <v>97</v>
      </c>
    </row>
    <row r="18" spans="1:12" x14ac:dyDescent="0.25">
      <c r="B18" s="46"/>
      <c r="C18" s="46"/>
      <c r="G18" s="60"/>
    </row>
    <row r="19" spans="1:12" ht="18" x14ac:dyDescent="0.35">
      <c r="B19" s="140" t="s">
        <v>93</v>
      </c>
      <c r="C19" s="147"/>
      <c r="D19" s="141"/>
      <c r="E19" s="141"/>
      <c r="F19" s="43">
        <f>F16*'Input data'!E12/1000</f>
        <v>886.07036779380371</v>
      </c>
      <c r="G19" s="5" t="s">
        <v>95</v>
      </c>
    </row>
    <row r="20" spans="1:12" ht="18" x14ac:dyDescent="0.35">
      <c r="B20" s="148" t="s">
        <v>94</v>
      </c>
      <c r="C20" s="147"/>
      <c r="D20" s="141"/>
      <c r="E20" s="141"/>
      <c r="F20" s="43">
        <f>(F16-F17)*'Input data'!E12/1000</f>
        <v>599.94944799508539</v>
      </c>
      <c r="G20" s="5" t="s">
        <v>95</v>
      </c>
    </row>
    <row r="21" spans="1:12" x14ac:dyDescent="0.25">
      <c r="A21" s="2"/>
    </row>
    <row r="22" spans="1:12" ht="15.75" x14ac:dyDescent="0.25">
      <c r="A22" s="101" t="s">
        <v>77</v>
      </c>
    </row>
    <row r="23" spans="1:12" x14ac:dyDescent="0.25">
      <c r="A23" s="2"/>
    </row>
    <row r="24" spans="1:12" x14ac:dyDescent="0.25">
      <c r="A24" s="2"/>
      <c r="B24" s="2" t="s">
        <v>131</v>
      </c>
    </row>
    <row r="25" spans="1:12" ht="15" customHeight="1" x14ac:dyDescent="0.35">
      <c r="A25" s="2"/>
      <c r="D25" s="149" t="s">
        <v>135</v>
      </c>
      <c r="E25" s="150"/>
      <c r="F25" s="150"/>
      <c r="G25" s="151"/>
      <c r="H25" s="149" t="s">
        <v>38</v>
      </c>
      <c r="I25" s="150"/>
      <c r="J25" s="151"/>
      <c r="K25" s="152" t="s">
        <v>12</v>
      </c>
      <c r="L25" s="153"/>
    </row>
    <row r="26" spans="1:12" ht="42" customHeight="1" x14ac:dyDescent="0.25">
      <c r="A26" s="2"/>
      <c r="B26" s="6"/>
      <c r="D26" s="106" t="s">
        <v>13</v>
      </c>
      <c r="E26" s="107" t="s">
        <v>7</v>
      </c>
      <c r="F26" s="107" t="s">
        <v>8</v>
      </c>
      <c r="G26" s="108" t="s">
        <v>134</v>
      </c>
      <c r="H26" s="106" t="s">
        <v>9</v>
      </c>
      <c r="I26" s="107" t="s">
        <v>10</v>
      </c>
      <c r="J26" s="108" t="s">
        <v>11</v>
      </c>
      <c r="K26" s="154"/>
      <c r="L26" s="155"/>
    </row>
    <row r="27" spans="1:12" x14ac:dyDescent="0.25">
      <c r="A27" s="2"/>
      <c r="B27" s="9" t="s">
        <v>0</v>
      </c>
      <c r="C27" s="80"/>
      <c r="D27" s="137"/>
      <c r="E27" s="126">
        <v>33700</v>
      </c>
      <c r="F27" s="126">
        <v>20700</v>
      </c>
      <c r="G27" s="127">
        <v>8880</v>
      </c>
      <c r="H27" s="137">
        <v>44940</v>
      </c>
      <c r="I27" s="126">
        <v>4440</v>
      </c>
      <c r="J27" s="127">
        <v>1210</v>
      </c>
      <c r="K27" s="156">
        <v>44200</v>
      </c>
      <c r="L27" s="157"/>
    </row>
    <row r="28" spans="1:12" x14ac:dyDescent="0.25">
      <c r="A28" s="2"/>
      <c r="B28" s="9" t="s">
        <v>1</v>
      </c>
      <c r="C28" s="80"/>
      <c r="D28" s="137"/>
      <c r="E28" s="126">
        <v>19800</v>
      </c>
      <c r="F28" s="126">
        <v>12200</v>
      </c>
      <c r="G28" s="127">
        <v>6400</v>
      </c>
      <c r="H28" s="137">
        <v>25600</v>
      </c>
      <c r="I28" s="126">
        <v>3200</v>
      </c>
      <c r="J28" s="127">
        <v>700</v>
      </c>
      <c r="K28" s="156">
        <v>54000</v>
      </c>
      <c r="L28" s="157"/>
    </row>
    <row r="29" spans="1:12" x14ac:dyDescent="0.25">
      <c r="A29" s="2"/>
      <c r="B29" s="9" t="s">
        <v>3</v>
      </c>
      <c r="C29" s="80"/>
      <c r="D29" s="137"/>
      <c r="E29" s="126">
        <v>3000</v>
      </c>
      <c r="F29" s="126">
        <v>1800</v>
      </c>
      <c r="G29" s="127">
        <v>1000</v>
      </c>
      <c r="H29" s="137">
        <v>3800</v>
      </c>
      <c r="I29" s="126">
        <v>500</v>
      </c>
      <c r="J29" s="127">
        <v>100</v>
      </c>
      <c r="K29" s="156">
        <v>2000</v>
      </c>
      <c r="L29" s="157"/>
    </row>
    <row r="30" spans="1:12" x14ac:dyDescent="0.25">
      <c r="A30" s="2"/>
      <c r="B30" s="9" t="s">
        <v>4</v>
      </c>
      <c r="C30" s="80"/>
      <c r="D30" s="138"/>
      <c r="E30" s="128">
        <v>10700</v>
      </c>
      <c r="F30" s="128">
        <v>6600</v>
      </c>
      <c r="G30" s="129">
        <v>3100</v>
      </c>
      <c r="H30" s="138">
        <v>14100</v>
      </c>
      <c r="I30" s="128">
        <v>1500</v>
      </c>
      <c r="J30" s="129">
        <v>400</v>
      </c>
      <c r="K30" s="163">
        <v>19600</v>
      </c>
      <c r="L30" s="164"/>
    </row>
    <row r="31" spans="1:12" x14ac:dyDescent="0.25">
      <c r="A31" s="2"/>
      <c r="D31" t="s">
        <v>166</v>
      </c>
    </row>
    <row r="32" spans="1:12" x14ac:dyDescent="0.25">
      <c r="A32" s="2"/>
    </row>
    <row r="33" spans="2:11" x14ac:dyDescent="0.25">
      <c r="B33" s="2" t="s">
        <v>32</v>
      </c>
    </row>
    <row r="34" spans="2:11" x14ac:dyDescent="0.25">
      <c r="B34" s="143" t="s">
        <v>32</v>
      </c>
      <c r="C34" s="143"/>
      <c r="D34" s="143"/>
      <c r="E34" s="130">
        <v>15</v>
      </c>
      <c r="F34" s="5" t="s">
        <v>105</v>
      </c>
    </row>
    <row r="36" spans="2:11" x14ac:dyDescent="0.25">
      <c r="B36" s="2" t="s">
        <v>132</v>
      </c>
    </row>
    <row r="37" spans="2:11" x14ac:dyDescent="0.25">
      <c r="B37" s="4" t="s">
        <v>56</v>
      </c>
      <c r="C37" s="4"/>
      <c r="D37" s="4"/>
      <c r="E37" s="4"/>
      <c r="F37" s="4"/>
      <c r="G37" s="4"/>
      <c r="H37" s="130">
        <v>0.5</v>
      </c>
      <c r="I37" s="80" t="s">
        <v>46</v>
      </c>
      <c r="J37" s="4"/>
      <c r="K37" s="4"/>
    </row>
    <row r="38" spans="2:11" x14ac:dyDescent="0.25">
      <c r="B38" s="4" t="s">
        <v>49</v>
      </c>
      <c r="C38" s="4"/>
      <c r="D38" s="4"/>
      <c r="E38" s="4"/>
      <c r="F38" s="4"/>
      <c r="G38" s="4"/>
      <c r="H38" s="130">
        <v>3</v>
      </c>
      <c r="I38" s="80" t="s">
        <v>50</v>
      </c>
      <c r="J38" s="4"/>
      <c r="K38" s="4"/>
    </row>
    <row r="39" spans="2:11" x14ac:dyDescent="0.25">
      <c r="B39" s="4" t="s">
        <v>55</v>
      </c>
      <c r="C39" s="4"/>
      <c r="D39" s="4"/>
      <c r="E39" s="4"/>
      <c r="F39" s="4"/>
      <c r="G39" s="4"/>
      <c r="H39" s="130">
        <v>1</v>
      </c>
      <c r="I39" s="80" t="s">
        <v>51</v>
      </c>
      <c r="J39" s="4"/>
      <c r="K39" s="4"/>
    </row>
    <row r="40" spans="2:11" x14ac:dyDescent="0.25">
      <c r="B40" s="4" t="s">
        <v>52</v>
      </c>
      <c r="C40" s="4"/>
      <c r="D40" s="4"/>
      <c r="E40" s="4"/>
      <c r="F40" s="4"/>
      <c r="G40" s="4"/>
      <c r="H40" s="130">
        <v>25</v>
      </c>
      <c r="I40" s="80" t="s">
        <v>53</v>
      </c>
      <c r="J40" s="4"/>
      <c r="K40" s="4"/>
    </row>
    <row r="41" spans="2:11" x14ac:dyDescent="0.25">
      <c r="B41" s="4" t="s">
        <v>54</v>
      </c>
      <c r="C41" s="4"/>
      <c r="D41" s="4"/>
      <c r="E41" s="4"/>
      <c r="F41" s="4"/>
      <c r="G41" s="4"/>
      <c r="H41" s="130">
        <v>2</v>
      </c>
      <c r="I41" s="80" t="s">
        <v>46</v>
      </c>
      <c r="J41" s="4"/>
      <c r="K41" s="4"/>
    </row>
    <row r="42" spans="2:11" x14ac:dyDescent="0.25">
      <c r="B42" s="4" t="s">
        <v>47</v>
      </c>
      <c r="C42" s="4"/>
      <c r="D42" s="4"/>
      <c r="E42" s="4"/>
      <c r="F42" s="4"/>
      <c r="G42" s="4"/>
      <c r="H42" s="130">
        <v>7</v>
      </c>
      <c r="I42" s="80" t="s">
        <v>46</v>
      </c>
      <c r="J42" s="4"/>
      <c r="K42" s="4"/>
    </row>
    <row r="44" spans="2:11" x14ac:dyDescent="0.25">
      <c r="B44" s="2" t="s">
        <v>59</v>
      </c>
    </row>
    <row r="45" spans="2:11" x14ac:dyDescent="0.25">
      <c r="B45" s="4" t="s">
        <v>22</v>
      </c>
      <c r="C45" s="5">
        <f t="shared" ref="C45" si="0">D45-1</f>
        <v>1</v>
      </c>
      <c r="D45" s="5">
        <f>E45-1</f>
        <v>2</v>
      </c>
      <c r="E45" s="5">
        <v>3</v>
      </c>
      <c r="F45" s="5" t="s">
        <v>29</v>
      </c>
    </row>
    <row r="46" spans="2:11" x14ac:dyDescent="0.25">
      <c r="B46" s="4" t="s">
        <v>31</v>
      </c>
      <c r="C46" s="130">
        <v>20</v>
      </c>
      <c r="D46" s="130">
        <v>50</v>
      </c>
      <c r="E46" s="130">
        <v>30</v>
      </c>
      <c r="F46" s="5" t="s">
        <v>28</v>
      </c>
    </row>
    <row r="48" spans="2:11" x14ac:dyDescent="0.25">
      <c r="B48" s="140" t="s">
        <v>48</v>
      </c>
      <c r="C48" s="140"/>
      <c r="D48" s="74">
        <f>(E46*(1+$E$5/100)^(E6-$E$45)+D46*(1+$E$5/100)^(E6-$D$45)+C46*(1+$E$5/100)^(E6-$C$45))/SUM(C46:E46)</f>
        <v>1.1591424000000001</v>
      </c>
    </row>
    <row r="50" spans="1:9" ht="15.75" x14ac:dyDescent="0.25">
      <c r="A50" s="101" t="s">
        <v>78</v>
      </c>
    </row>
    <row r="52" spans="1:9" x14ac:dyDescent="0.25">
      <c r="B52" s="2" t="s">
        <v>39</v>
      </c>
    </row>
    <row r="53" spans="1:9" ht="30" customHeight="1" x14ac:dyDescent="0.25">
      <c r="B53" s="6"/>
      <c r="E53" s="158" t="s">
        <v>109</v>
      </c>
      <c r="F53" s="159"/>
      <c r="G53" s="84" t="s">
        <v>38</v>
      </c>
      <c r="H53" s="166" t="s">
        <v>12</v>
      </c>
      <c r="I53" s="167"/>
    </row>
    <row r="54" spans="1:9" x14ac:dyDescent="0.25">
      <c r="B54" s="148" t="s">
        <v>101</v>
      </c>
      <c r="C54" s="141"/>
      <c r="D54" s="141"/>
      <c r="E54" s="165">
        <v>10</v>
      </c>
      <c r="F54" s="165"/>
      <c r="G54" s="139">
        <v>10</v>
      </c>
      <c r="H54" s="165">
        <v>0</v>
      </c>
      <c r="I54" s="162"/>
    </row>
    <row r="55" spans="1:9" x14ac:dyDescent="0.25">
      <c r="B55" s="2"/>
    </row>
    <row r="56" spans="1:9" x14ac:dyDescent="0.25">
      <c r="B56" s="4" t="s">
        <v>74</v>
      </c>
      <c r="C56" s="4"/>
      <c r="D56" s="4"/>
      <c r="E56" s="4"/>
      <c r="F56" s="131">
        <v>80000</v>
      </c>
      <c r="G56" s="5" t="s">
        <v>75</v>
      </c>
    </row>
    <row r="57" spans="1:9" x14ac:dyDescent="0.25">
      <c r="F57" s="6"/>
    </row>
    <row r="58" spans="1:9" x14ac:dyDescent="0.25">
      <c r="B58" s="2" t="s">
        <v>62</v>
      </c>
      <c r="F58" s="6"/>
    </row>
    <row r="59" spans="1:9" x14ac:dyDescent="0.25">
      <c r="B59" s="8" t="s">
        <v>13</v>
      </c>
      <c r="C59" s="9"/>
      <c r="D59" s="9"/>
      <c r="E59" s="9"/>
      <c r="F59" s="130">
        <v>2</v>
      </c>
      <c r="G59" s="5" t="s">
        <v>46</v>
      </c>
    </row>
    <row r="60" spans="1:9" ht="18" x14ac:dyDescent="0.35">
      <c r="B60" s="9" t="s">
        <v>80</v>
      </c>
      <c r="C60" s="9"/>
      <c r="D60" s="9"/>
      <c r="E60" s="9"/>
      <c r="F60" s="130">
        <v>2</v>
      </c>
      <c r="G60" s="5" t="s">
        <v>46</v>
      </c>
    </row>
    <row r="61" spans="1:9" x14ac:dyDescent="0.25">
      <c r="B61" s="9" t="s">
        <v>9</v>
      </c>
      <c r="C61" s="9"/>
      <c r="D61" s="9"/>
      <c r="E61" s="9"/>
      <c r="F61" s="130">
        <v>2.5</v>
      </c>
      <c r="G61" s="5" t="s">
        <v>46</v>
      </c>
    </row>
    <row r="62" spans="1:9" x14ac:dyDescent="0.25">
      <c r="B62" s="9" t="s">
        <v>60</v>
      </c>
      <c r="C62" s="9"/>
      <c r="D62" s="9"/>
      <c r="E62" s="9"/>
      <c r="F62" s="130">
        <v>1</v>
      </c>
      <c r="G62" s="5" t="s">
        <v>46</v>
      </c>
    </row>
    <row r="63" spans="1:9" x14ac:dyDescent="0.25">
      <c r="B63" s="9" t="s">
        <v>61</v>
      </c>
      <c r="C63" s="9"/>
      <c r="D63" s="9"/>
      <c r="E63" s="9"/>
      <c r="F63" s="130">
        <v>1</v>
      </c>
      <c r="G63" s="5" t="s">
        <v>46</v>
      </c>
    </row>
    <row r="64" spans="1:9" x14ac:dyDescent="0.25">
      <c r="F64" s="6"/>
      <c r="G64" s="82"/>
    </row>
    <row r="65" spans="1:10" x14ac:dyDescent="0.25">
      <c r="B65" s="2" t="s">
        <v>81</v>
      </c>
      <c r="F65" s="6"/>
      <c r="G65" s="82"/>
    </row>
    <row r="66" spans="1:10" ht="28.15" customHeight="1" x14ac:dyDescent="0.25">
      <c r="B66" s="142" t="s">
        <v>63</v>
      </c>
      <c r="C66" s="141"/>
      <c r="D66" s="141"/>
      <c r="E66" s="141"/>
      <c r="F66" s="132">
        <v>60</v>
      </c>
      <c r="G66" s="84" t="s">
        <v>28</v>
      </c>
    </row>
    <row r="67" spans="1:10" x14ac:dyDescent="0.25">
      <c r="F67" s="6"/>
      <c r="G67" s="82"/>
    </row>
    <row r="68" spans="1:10" x14ac:dyDescent="0.25">
      <c r="B68" s="2" t="s">
        <v>64</v>
      </c>
      <c r="F68" s="6"/>
      <c r="G68" s="82"/>
    </row>
    <row r="69" spans="1:10" x14ac:dyDescent="0.25">
      <c r="B69" s="4" t="s">
        <v>64</v>
      </c>
      <c r="C69" s="4"/>
      <c r="D69" s="4"/>
      <c r="E69" s="4"/>
      <c r="F69" s="130">
        <v>0.5</v>
      </c>
      <c r="G69" s="81" t="s">
        <v>46</v>
      </c>
    </row>
    <row r="70" spans="1:10" x14ac:dyDescent="0.25">
      <c r="G70" s="82"/>
    </row>
    <row r="71" spans="1:10" ht="15.75" x14ac:dyDescent="0.25">
      <c r="A71" s="101" t="s">
        <v>79</v>
      </c>
      <c r="B71" s="2"/>
      <c r="G71" s="82"/>
    </row>
    <row r="72" spans="1:10" ht="15.75" x14ac:dyDescent="0.25">
      <c r="A72" s="101"/>
      <c r="B72" s="2"/>
      <c r="G72" s="82"/>
    </row>
    <row r="73" spans="1:10" ht="15.75" x14ac:dyDescent="0.25">
      <c r="A73" s="101"/>
      <c r="B73" s="2" t="s">
        <v>146</v>
      </c>
      <c r="G73" s="82"/>
    </row>
    <row r="74" spans="1:10" ht="32.25" customHeight="1" x14ac:dyDescent="0.25">
      <c r="A74" s="101"/>
      <c r="B74" s="6"/>
      <c r="E74" s="158" t="s">
        <v>109</v>
      </c>
      <c r="F74" s="159"/>
      <c r="G74" s="84" t="s">
        <v>38</v>
      </c>
      <c r="H74" s="166" t="s">
        <v>12</v>
      </c>
      <c r="I74" s="167"/>
    </row>
    <row r="75" spans="1:10" ht="15.75" x14ac:dyDescent="0.25">
      <c r="A75" s="101"/>
      <c r="B75" s="9" t="s">
        <v>42</v>
      </c>
      <c r="C75" s="80"/>
      <c r="D75" s="80"/>
      <c r="E75" s="160" t="s">
        <v>29</v>
      </c>
      <c r="F75" s="141"/>
      <c r="G75" s="136">
        <v>596.81680000000006</v>
      </c>
      <c r="H75" s="160" t="s">
        <v>29</v>
      </c>
      <c r="I75" s="141"/>
      <c r="J75" s="5" t="s">
        <v>136</v>
      </c>
    </row>
    <row r="76" spans="1:10" ht="15.75" x14ac:dyDescent="0.25">
      <c r="A76" s="101"/>
      <c r="B76" s="9" t="s">
        <v>137</v>
      </c>
      <c r="C76" s="80"/>
      <c r="D76" s="80"/>
      <c r="E76" s="161"/>
      <c r="F76" s="161"/>
      <c r="G76" s="61" t="s">
        <v>29</v>
      </c>
      <c r="H76" s="160" t="s">
        <v>29</v>
      </c>
      <c r="I76" s="141"/>
      <c r="J76" s="5" t="s">
        <v>138</v>
      </c>
    </row>
    <row r="77" spans="1:10" ht="15.75" x14ac:dyDescent="0.25">
      <c r="A77" s="101"/>
      <c r="B77" s="9" t="s">
        <v>139</v>
      </c>
      <c r="C77" s="80"/>
      <c r="D77" s="80"/>
      <c r="E77" s="161">
        <v>218.9</v>
      </c>
      <c r="F77" s="161"/>
      <c r="G77" s="61" t="s">
        <v>29</v>
      </c>
      <c r="H77" s="160" t="s">
        <v>29</v>
      </c>
      <c r="I77" s="141"/>
      <c r="J77" s="5" t="s">
        <v>140</v>
      </c>
    </row>
    <row r="78" spans="1:10" ht="15.75" x14ac:dyDescent="0.25">
      <c r="A78" s="101"/>
      <c r="B78" s="9" t="s">
        <v>141</v>
      </c>
      <c r="C78" s="80"/>
      <c r="D78" s="80"/>
      <c r="E78" s="160" t="s">
        <v>29</v>
      </c>
      <c r="F78" s="141"/>
      <c r="G78" s="136">
        <v>310.7</v>
      </c>
      <c r="H78" s="160" t="s">
        <v>29</v>
      </c>
      <c r="I78" s="141"/>
      <c r="J78" s="5" t="s">
        <v>138</v>
      </c>
    </row>
    <row r="79" spans="1:10" ht="15.75" x14ac:dyDescent="0.25">
      <c r="A79" s="101"/>
      <c r="B79" s="9" t="s">
        <v>142</v>
      </c>
      <c r="C79" s="80"/>
      <c r="D79" s="80"/>
      <c r="E79" s="161">
        <v>0.56000000000000005</v>
      </c>
      <c r="F79" s="162"/>
      <c r="G79" s="61" t="s">
        <v>29</v>
      </c>
      <c r="H79" s="160" t="s">
        <v>29</v>
      </c>
      <c r="I79" s="141"/>
      <c r="J79" s="5" t="s">
        <v>138</v>
      </c>
    </row>
    <row r="80" spans="1:10" ht="15.75" x14ac:dyDescent="0.25">
      <c r="A80" s="101"/>
      <c r="B80" s="2"/>
      <c r="G80" s="82"/>
      <c r="J80" s="82"/>
    </row>
    <row r="81" spans="1:10" ht="18" x14ac:dyDescent="0.35">
      <c r="A81" s="101"/>
      <c r="B81" s="116" t="s">
        <v>159</v>
      </c>
      <c r="C81" s="116"/>
      <c r="D81" s="116"/>
      <c r="E81" s="116"/>
      <c r="F81" s="116"/>
      <c r="G81" s="5"/>
      <c r="H81" s="120"/>
      <c r="I81" s="133">
        <v>0.69520830927409594</v>
      </c>
      <c r="J81" s="5" t="s">
        <v>28</v>
      </c>
    </row>
    <row r="82" spans="1:10" ht="15.75" x14ac:dyDescent="0.25">
      <c r="A82" s="101"/>
      <c r="B82" s="2"/>
      <c r="G82" s="115"/>
      <c r="J82" s="115"/>
    </row>
    <row r="83" spans="1:10" ht="15.75" x14ac:dyDescent="0.25">
      <c r="A83" s="101"/>
      <c r="B83" s="2" t="s">
        <v>147</v>
      </c>
      <c r="G83" s="82"/>
      <c r="J83" s="82"/>
    </row>
    <row r="84" spans="1:10" ht="36" customHeight="1" x14ac:dyDescent="0.25">
      <c r="A84" s="101"/>
      <c r="B84" s="2"/>
      <c r="E84" s="158" t="s">
        <v>109</v>
      </c>
      <c r="F84" s="159"/>
      <c r="G84" s="84" t="s">
        <v>38</v>
      </c>
      <c r="H84" s="166" t="s">
        <v>12</v>
      </c>
      <c r="I84" s="167"/>
      <c r="J84" s="82"/>
    </row>
    <row r="85" spans="1:10" ht="14.25" hidden="1" customHeight="1" x14ac:dyDescent="0.25">
      <c r="A85" s="101"/>
      <c r="B85" s="9" t="s">
        <v>42</v>
      </c>
      <c r="C85" s="80"/>
      <c r="D85" s="80"/>
      <c r="E85" s="160" t="s">
        <v>29</v>
      </c>
      <c r="F85" s="140"/>
      <c r="G85" s="61">
        <f>'Input data'!G75*'Input data'!$E$12</f>
        <v>5013261.1199999992</v>
      </c>
      <c r="H85" s="160" t="s">
        <v>29</v>
      </c>
      <c r="I85" s="140"/>
      <c r="J85" s="5" t="s">
        <v>143</v>
      </c>
    </row>
    <row r="86" spans="1:10" ht="15" hidden="1" customHeight="1" x14ac:dyDescent="0.25">
      <c r="A86" s="101"/>
      <c r="B86" s="9" t="s">
        <v>137</v>
      </c>
      <c r="C86" s="80"/>
      <c r="D86" s="80"/>
      <c r="E86" s="160">
        <f>'Input data'!E76*'Input data'!$E$12</f>
        <v>0</v>
      </c>
      <c r="F86" s="140"/>
      <c r="G86" s="61" t="s">
        <v>29</v>
      </c>
      <c r="H86" s="160" t="s">
        <v>29</v>
      </c>
      <c r="I86" s="140"/>
      <c r="J86" s="5" t="s">
        <v>144</v>
      </c>
    </row>
    <row r="87" spans="1:10" ht="20.25" hidden="1" customHeight="1" x14ac:dyDescent="0.25">
      <c r="A87" s="101"/>
      <c r="B87" s="9" t="s">
        <v>139</v>
      </c>
      <c r="C87" s="80"/>
      <c r="D87" s="80"/>
      <c r="E87" s="160">
        <f>'Input data'!E77*'Input data'!$E$12/1000</f>
        <v>1838.7599999999995</v>
      </c>
      <c r="F87" s="140"/>
      <c r="G87" s="61" t="s">
        <v>29</v>
      </c>
      <c r="H87" s="160" t="s">
        <v>29</v>
      </c>
      <c r="I87" s="140"/>
      <c r="J87" s="5" t="s">
        <v>144</v>
      </c>
    </row>
    <row r="88" spans="1:10" ht="15.75" x14ac:dyDescent="0.25">
      <c r="A88" s="101"/>
      <c r="B88" s="9" t="s">
        <v>145</v>
      </c>
      <c r="C88" s="80"/>
      <c r="D88" s="80"/>
      <c r="E88" s="161">
        <v>0.85876644699048654</v>
      </c>
      <c r="F88" s="161"/>
      <c r="G88" s="61" t="s">
        <v>29</v>
      </c>
      <c r="H88" s="160" t="s">
        <v>29</v>
      </c>
      <c r="I88" s="140"/>
      <c r="J88" s="5" t="s">
        <v>144</v>
      </c>
    </row>
    <row r="89" spans="1:10" ht="14.25" hidden="1" x14ac:dyDescent="0.25">
      <c r="A89" s="101"/>
      <c r="B89" s="9" t="s">
        <v>141</v>
      </c>
      <c r="C89" s="80"/>
      <c r="D89" s="80"/>
      <c r="E89" s="160" t="s">
        <v>29</v>
      </c>
      <c r="F89" s="140"/>
      <c r="G89" s="61">
        <f>'Input data'!G78*'Input data'!$E$12</f>
        <v>2609879.9999999995</v>
      </c>
      <c r="H89" s="160" t="s">
        <v>29</v>
      </c>
      <c r="I89" s="140"/>
      <c r="J89" s="80" t="s">
        <v>144</v>
      </c>
    </row>
    <row r="90" spans="1:10" ht="14.25" hidden="1" x14ac:dyDescent="0.25">
      <c r="A90" s="101"/>
      <c r="B90" s="9" t="s">
        <v>142</v>
      </c>
      <c r="C90" s="80"/>
      <c r="D90" s="80"/>
      <c r="E90" s="160">
        <f>'Input data'!E79*'Input data'!$E$12</f>
        <v>4703.9999999999991</v>
      </c>
      <c r="F90" s="140"/>
      <c r="G90" s="61" t="s">
        <v>29</v>
      </c>
      <c r="H90" s="160" t="s">
        <v>29</v>
      </c>
      <c r="I90" s="140"/>
      <c r="J90" s="80" t="s">
        <v>144</v>
      </c>
    </row>
    <row r="91" spans="1:10" x14ac:dyDescent="0.25">
      <c r="G91" s="82"/>
    </row>
    <row r="92" spans="1:10" x14ac:dyDescent="0.25">
      <c r="B92" s="2" t="s">
        <v>133</v>
      </c>
      <c r="G92" s="82"/>
    </row>
    <row r="93" spans="1:10" x14ac:dyDescent="0.25">
      <c r="B93" s="9" t="s">
        <v>65</v>
      </c>
      <c r="C93" s="9"/>
      <c r="D93" s="9"/>
      <c r="E93" s="9"/>
      <c r="F93" s="134">
        <f>6*1.10779552</f>
        <v>6.6467731200000006</v>
      </c>
      <c r="G93" s="5" t="s">
        <v>71</v>
      </c>
    </row>
    <row r="94" spans="1:10" x14ac:dyDescent="0.25">
      <c r="B94" s="9" t="s">
        <v>66</v>
      </c>
      <c r="C94" s="9"/>
      <c r="D94" s="9"/>
      <c r="E94" s="9"/>
      <c r="F94" s="130">
        <v>44</v>
      </c>
      <c r="G94" s="5" t="s">
        <v>72</v>
      </c>
    </row>
    <row r="95" spans="1:10" x14ac:dyDescent="0.25">
      <c r="B95" s="9" t="s">
        <v>67</v>
      </c>
      <c r="C95" s="9"/>
      <c r="D95" s="9"/>
      <c r="E95" s="9"/>
      <c r="F95" s="131">
        <v>2000</v>
      </c>
      <c r="G95" s="5" t="s">
        <v>72</v>
      </c>
    </row>
    <row r="96" spans="1:10" x14ac:dyDescent="0.25">
      <c r="B96" s="9" t="s">
        <v>68</v>
      </c>
      <c r="C96" s="9"/>
      <c r="D96" s="9"/>
      <c r="E96" s="9"/>
      <c r="F96" s="131">
        <f>7200</f>
        <v>7200</v>
      </c>
      <c r="G96" s="5" t="s">
        <v>72</v>
      </c>
    </row>
    <row r="97" spans="1:15" x14ac:dyDescent="0.25">
      <c r="B97" s="9" t="s">
        <v>69</v>
      </c>
      <c r="C97" s="9"/>
      <c r="D97" s="9"/>
      <c r="E97" s="9"/>
      <c r="F97" s="130">
        <v>0.1</v>
      </c>
      <c r="G97" s="5" t="s">
        <v>72</v>
      </c>
    </row>
    <row r="98" spans="1:15" x14ac:dyDescent="0.25">
      <c r="B98" s="9" t="s">
        <v>70</v>
      </c>
      <c r="C98" s="9"/>
      <c r="D98" s="9"/>
      <c r="E98" s="9"/>
      <c r="F98" s="130">
        <v>225</v>
      </c>
      <c r="G98" s="5" t="s">
        <v>72</v>
      </c>
    </row>
    <row r="99" spans="1:15" x14ac:dyDescent="0.25">
      <c r="B99" s="9" t="s">
        <v>73</v>
      </c>
      <c r="C99" s="4"/>
      <c r="D99" s="4"/>
      <c r="E99" s="4"/>
      <c r="F99" s="130">
        <v>0</v>
      </c>
      <c r="G99" s="5" t="s">
        <v>72</v>
      </c>
    </row>
    <row r="100" spans="1:15" x14ac:dyDescent="0.25">
      <c r="F100" s="1"/>
    </row>
    <row r="101" spans="1:15" ht="15.75" x14ac:dyDescent="0.25">
      <c r="A101" s="101" t="s">
        <v>91</v>
      </c>
      <c r="F101" s="1"/>
    </row>
    <row r="102" spans="1:15" x14ac:dyDescent="0.25">
      <c r="F102" s="1"/>
    </row>
    <row r="103" spans="1:15" x14ac:dyDescent="0.25">
      <c r="B103" s="9" t="s">
        <v>148</v>
      </c>
      <c r="C103" s="9"/>
      <c r="D103" s="9"/>
      <c r="E103" s="9"/>
      <c r="F103" s="134" t="s">
        <v>107</v>
      </c>
      <c r="O103" t="s">
        <v>106</v>
      </c>
    </row>
    <row r="104" spans="1:15" x14ac:dyDescent="0.25">
      <c r="O104" t="s">
        <v>107</v>
      </c>
    </row>
    <row r="105" spans="1:15" x14ac:dyDescent="0.25">
      <c r="B105" s="9" t="s">
        <v>151</v>
      </c>
      <c r="C105" s="80"/>
      <c r="D105" s="80"/>
      <c r="E105" s="80"/>
      <c r="F105" s="136">
        <v>2.1</v>
      </c>
      <c r="G105" s="5" t="s">
        <v>149</v>
      </c>
    </row>
    <row r="106" spans="1:15" hidden="1" x14ac:dyDescent="0.25">
      <c r="B106" s="9" t="s">
        <v>153</v>
      </c>
      <c r="C106" s="80"/>
      <c r="D106" s="80"/>
      <c r="E106" s="80"/>
      <c r="F106" s="135">
        <f>'Input data'!F105*'Input data'!$E$12</f>
        <v>17639.999999999996</v>
      </c>
      <c r="G106" s="5" t="s">
        <v>150</v>
      </c>
    </row>
    <row r="107" spans="1:15" x14ac:dyDescent="0.25">
      <c r="B107" s="9" t="s">
        <v>152</v>
      </c>
      <c r="C107" s="9"/>
      <c r="D107" s="9"/>
      <c r="E107" s="80"/>
      <c r="F107" s="134">
        <v>90</v>
      </c>
      <c r="G107" s="5" t="s">
        <v>89</v>
      </c>
    </row>
    <row r="109" spans="1:15" ht="15.75" x14ac:dyDescent="0.25">
      <c r="A109" s="101" t="s">
        <v>130</v>
      </c>
    </row>
    <row r="110" spans="1:15" x14ac:dyDescent="0.25">
      <c r="A110" s="2"/>
    </row>
    <row r="111" spans="1:15" x14ac:dyDescent="0.25">
      <c r="A111" s="2"/>
      <c r="D111" s="144" t="s">
        <v>85</v>
      </c>
      <c r="E111" s="145"/>
    </row>
    <row r="112" spans="1:15" x14ac:dyDescent="0.25">
      <c r="B112" s="140" t="s">
        <v>34</v>
      </c>
      <c r="C112" s="141"/>
      <c r="D112" s="133">
        <v>-0.15</v>
      </c>
      <c r="E112" s="133">
        <v>0.35</v>
      </c>
      <c r="F112" s="5" t="s">
        <v>28</v>
      </c>
    </row>
    <row r="113" spans="2:6" x14ac:dyDescent="0.25">
      <c r="B113" s="140" t="s">
        <v>84</v>
      </c>
      <c r="C113" s="141"/>
      <c r="D113" s="133">
        <v>-0.2</v>
      </c>
      <c r="E113" s="133">
        <v>0.2</v>
      </c>
      <c r="F113" s="5" t="s">
        <v>28</v>
      </c>
    </row>
    <row r="114" spans="2:6" x14ac:dyDescent="0.25">
      <c r="B114" s="140" t="s">
        <v>52</v>
      </c>
      <c r="C114" s="141"/>
      <c r="D114" s="133">
        <v>-0.3</v>
      </c>
      <c r="E114" s="133">
        <v>0.3</v>
      </c>
      <c r="F114" s="5" t="s">
        <v>28</v>
      </c>
    </row>
    <row r="115" spans="2:6" ht="18" x14ac:dyDescent="0.25">
      <c r="B115" s="10" t="s">
        <v>109</v>
      </c>
      <c r="C115" s="118"/>
      <c r="D115" s="133">
        <v>-0.3</v>
      </c>
      <c r="E115" s="133">
        <v>0.3</v>
      </c>
      <c r="F115" s="5" t="s">
        <v>28</v>
      </c>
    </row>
    <row r="116" spans="2:6" x14ac:dyDescent="0.25">
      <c r="B116" s="10" t="s">
        <v>38</v>
      </c>
      <c r="C116" s="118"/>
      <c r="D116" s="133">
        <v>-0.3</v>
      </c>
      <c r="E116" s="133">
        <v>0.3</v>
      </c>
      <c r="F116" s="5" t="s">
        <v>28</v>
      </c>
    </row>
    <row r="117" spans="2:6" x14ac:dyDescent="0.25">
      <c r="B117" s="9" t="s">
        <v>12</v>
      </c>
      <c r="C117" s="118"/>
      <c r="D117" s="133">
        <v>-0.3</v>
      </c>
      <c r="E117" s="133">
        <v>0.3</v>
      </c>
      <c r="F117" s="5" t="s">
        <v>28</v>
      </c>
    </row>
    <row r="118" spans="2:6" x14ac:dyDescent="0.25">
      <c r="B118" s="117" t="s">
        <v>157</v>
      </c>
      <c r="C118" s="114"/>
      <c r="D118" s="133">
        <v>-0.33</v>
      </c>
      <c r="E118" s="133">
        <v>0</v>
      </c>
      <c r="F118" s="5" t="s">
        <v>28</v>
      </c>
    </row>
    <row r="119" spans="2:6" x14ac:dyDescent="0.25">
      <c r="B119" s="117" t="s">
        <v>156</v>
      </c>
      <c r="C119" s="114"/>
      <c r="D119" s="133">
        <v>-0.3</v>
      </c>
      <c r="E119" s="133">
        <v>0</v>
      </c>
      <c r="F119" s="5" t="s">
        <v>28</v>
      </c>
    </row>
    <row r="121" spans="2:6" x14ac:dyDescent="0.25">
      <c r="D121" s="144" t="s">
        <v>154</v>
      </c>
      <c r="E121" s="145"/>
    </row>
    <row r="122" spans="2:6" x14ac:dyDescent="0.25">
      <c r="B122" s="49" t="s">
        <v>113</v>
      </c>
      <c r="C122" s="49"/>
      <c r="D122" s="130">
        <v>10</v>
      </c>
      <c r="E122" s="130">
        <v>40</v>
      </c>
      <c r="F122" s="5" t="s">
        <v>115</v>
      </c>
    </row>
    <row r="123" spans="2:6" x14ac:dyDescent="0.25">
      <c r="B123" s="49" t="s">
        <v>26</v>
      </c>
      <c r="C123" s="49"/>
      <c r="D123" s="130">
        <v>4</v>
      </c>
      <c r="E123" s="130">
        <v>12</v>
      </c>
      <c r="F123" s="5" t="s">
        <v>28</v>
      </c>
    </row>
    <row r="124" spans="2:6" x14ac:dyDescent="0.25">
      <c r="B124" s="49" t="s">
        <v>114</v>
      </c>
      <c r="C124" s="49"/>
      <c r="D124" s="130">
        <v>70</v>
      </c>
      <c r="E124" s="130">
        <v>100</v>
      </c>
      <c r="F124" s="5" t="s">
        <v>28</v>
      </c>
    </row>
  </sheetData>
  <sheetProtection algorithmName="SHA-512" hashValue="E71Xjd9bkDoFaqC0WKlXDBaG4BMaDAIocRKIhxo2TWJ6i+ZTgov+IsCyJZW2jEjIMR8R7NSfJZ9BqKLaaH9d+Q==" saltValue="jcoGJV6Rle2vLVAd0QpO3g==" spinCount="100000" sheet="1" objects="1" scenarios="1"/>
  <mergeCells count="55">
    <mergeCell ref="H89:I89"/>
    <mergeCell ref="H90:I90"/>
    <mergeCell ref="E84:F84"/>
    <mergeCell ref="H84:I84"/>
    <mergeCell ref="H74:I74"/>
    <mergeCell ref="E85:F85"/>
    <mergeCell ref="E86:F86"/>
    <mergeCell ref="E87:F87"/>
    <mergeCell ref="E88:F88"/>
    <mergeCell ref="H85:I85"/>
    <mergeCell ref="H86:I86"/>
    <mergeCell ref="H87:I87"/>
    <mergeCell ref="H88:I88"/>
    <mergeCell ref="H75:I75"/>
    <mergeCell ref="H76:I76"/>
    <mergeCell ref="H77:I77"/>
    <mergeCell ref="H78:I78"/>
    <mergeCell ref="H79:I79"/>
    <mergeCell ref="K29:L29"/>
    <mergeCell ref="K30:L30"/>
    <mergeCell ref="E53:F53"/>
    <mergeCell ref="E54:F54"/>
    <mergeCell ref="H53:I53"/>
    <mergeCell ref="H54:I54"/>
    <mergeCell ref="H25:J25"/>
    <mergeCell ref="K25:L26"/>
    <mergeCell ref="K27:L27"/>
    <mergeCell ref="K28:L28"/>
    <mergeCell ref="D121:E121"/>
    <mergeCell ref="D25:G25"/>
    <mergeCell ref="B54:D54"/>
    <mergeCell ref="E74:F74"/>
    <mergeCell ref="E75:F75"/>
    <mergeCell ref="E76:F76"/>
    <mergeCell ref="E77:F77"/>
    <mergeCell ref="E78:F78"/>
    <mergeCell ref="E79:F79"/>
    <mergeCell ref="E89:F89"/>
    <mergeCell ref="E90:F90"/>
    <mergeCell ref="B112:C112"/>
    <mergeCell ref="B5:D5"/>
    <mergeCell ref="B6:D6"/>
    <mergeCell ref="B7:D7"/>
    <mergeCell ref="B8:D8"/>
    <mergeCell ref="B48:C48"/>
    <mergeCell ref="B9:D9"/>
    <mergeCell ref="B16:E16"/>
    <mergeCell ref="B17:E17"/>
    <mergeCell ref="B19:E19"/>
    <mergeCell ref="B20:E20"/>
    <mergeCell ref="B113:C113"/>
    <mergeCell ref="B114:C114"/>
    <mergeCell ref="B66:E66"/>
    <mergeCell ref="B34:D34"/>
    <mergeCell ref="D111:E111"/>
  </mergeCells>
  <dataValidations count="2">
    <dataValidation type="list" allowBlank="1" showInputMessage="1" showErrorMessage="1" sqref="F103">
      <formula1>List</formula1>
    </dataValidation>
    <dataValidation type="list" allowBlank="1" showInputMessage="1" showErrorMessage="1" sqref="E7">
      <formula1>Number_of_years</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B1:V59"/>
  <sheetViews>
    <sheetView workbookViewId="0">
      <selection activeCell="A9" sqref="A9"/>
    </sheetView>
  </sheetViews>
  <sheetFormatPr defaultRowHeight="15" x14ac:dyDescent="0.25"/>
  <cols>
    <col min="4" max="4" width="16.7109375" customWidth="1"/>
    <col min="7" max="7" width="16.42578125" bestFit="1" customWidth="1"/>
    <col min="10" max="10" width="16.42578125" bestFit="1" customWidth="1"/>
    <col min="13" max="13" width="16.42578125" bestFit="1" customWidth="1"/>
    <col min="16" max="16" width="16.42578125" bestFit="1" customWidth="1"/>
    <col min="19" max="19" width="16.42578125" bestFit="1" customWidth="1"/>
    <col min="22" max="22" width="16.42578125" bestFit="1" customWidth="1"/>
  </cols>
  <sheetData>
    <row r="1" spans="2:22" ht="15.75" thickBot="1" x14ac:dyDescent="0.3"/>
    <row r="2" spans="2:22" ht="15.75" thickBot="1" x14ac:dyDescent="0.3">
      <c r="B2" s="171" t="s">
        <v>164</v>
      </c>
      <c r="C2" s="172"/>
      <c r="D2" s="173"/>
      <c r="E2" s="168" t="s">
        <v>163</v>
      </c>
      <c r="F2" s="169"/>
      <c r="G2" s="169"/>
      <c r="H2" s="169"/>
      <c r="I2" s="169"/>
      <c r="J2" s="169"/>
      <c r="K2" s="169"/>
      <c r="L2" s="169"/>
      <c r="M2" s="169"/>
      <c r="N2" s="169"/>
      <c r="O2" s="169"/>
      <c r="P2" s="169"/>
      <c r="Q2" s="169"/>
      <c r="R2" s="169"/>
      <c r="S2" s="169"/>
      <c r="T2" s="169"/>
      <c r="U2" s="169"/>
      <c r="V2" s="170"/>
    </row>
    <row r="3" spans="2:22" x14ac:dyDescent="0.25">
      <c r="B3" s="174"/>
      <c r="C3" s="175"/>
      <c r="D3" s="176"/>
      <c r="E3" s="180" t="s">
        <v>116</v>
      </c>
      <c r="F3" s="181"/>
      <c r="G3" s="181"/>
      <c r="H3" s="181"/>
      <c r="I3" s="181"/>
      <c r="J3" s="182"/>
      <c r="K3" s="180" t="s">
        <v>117</v>
      </c>
      <c r="L3" s="181"/>
      <c r="M3" s="181"/>
      <c r="N3" s="181"/>
      <c r="O3" s="181"/>
      <c r="P3" s="182"/>
      <c r="Q3" s="180" t="s">
        <v>118</v>
      </c>
      <c r="R3" s="181"/>
      <c r="S3" s="181"/>
      <c r="T3" s="181"/>
      <c r="U3" s="181"/>
      <c r="V3" s="182"/>
    </row>
    <row r="4" spans="2:22" ht="15.75" thickBot="1" x14ac:dyDescent="0.3">
      <c r="B4" s="177"/>
      <c r="C4" s="178"/>
      <c r="D4" s="179"/>
      <c r="E4" s="183">
        <f>'Input data'!D122</f>
        <v>10</v>
      </c>
      <c r="F4" s="184"/>
      <c r="G4" s="184"/>
      <c r="H4" s="184">
        <f>'Input data'!E122</f>
        <v>40</v>
      </c>
      <c r="I4" s="184"/>
      <c r="J4" s="185"/>
      <c r="K4" s="183">
        <f>'Input data'!D123</f>
        <v>4</v>
      </c>
      <c r="L4" s="184"/>
      <c r="M4" s="184"/>
      <c r="N4" s="184">
        <f>'Input data'!E123</f>
        <v>12</v>
      </c>
      <c r="O4" s="184"/>
      <c r="P4" s="185"/>
      <c r="Q4" s="183">
        <f>'Input data'!D124</f>
        <v>70</v>
      </c>
      <c r="R4" s="184"/>
      <c r="S4" s="184"/>
      <c r="T4" s="184">
        <f>'Input data'!E124</f>
        <v>100</v>
      </c>
      <c r="U4" s="184"/>
      <c r="V4" s="185"/>
    </row>
    <row r="5" spans="2:22" x14ac:dyDescent="0.25">
      <c r="B5" s="64" t="s">
        <v>22</v>
      </c>
      <c r="C5" s="65" t="s">
        <v>23</v>
      </c>
      <c r="D5" s="66" t="s">
        <v>24</v>
      </c>
      <c r="E5" s="64" t="s">
        <v>22</v>
      </c>
      <c r="F5" s="65" t="s">
        <v>23</v>
      </c>
      <c r="G5" s="76" t="s">
        <v>24</v>
      </c>
      <c r="H5" s="77" t="s">
        <v>22</v>
      </c>
      <c r="I5" s="65" t="s">
        <v>23</v>
      </c>
      <c r="J5" s="66" t="s">
        <v>24</v>
      </c>
      <c r="K5" s="64" t="s">
        <v>22</v>
      </c>
      <c r="L5" s="65" t="s">
        <v>23</v>
      </c>
      <c r="M5" s="76" t="s">
        <v>24</v>
      </c>
      <c r="N5" s="77" t="s">
        <v>22</v>
      </c>
      <c r="O5" s="65" t="s">
        <v>23</v>
      </c>
      <c r="P5" s="66" t="s">
        <v>24</v>
      </c>
      <c r="Q5" s="64" t="s">
        <v>22</v>
      </c>
      <c r="R5" s="65" t="s">
        <v>23</v>
      </c>
      <c r="S5" s="76" t="s">
        <v>24</v>
      </c>
      <c r="T5" s="77" t="s">
        <v>22</v>
      </c>
      <c r="U5" s="65" t="s">
        <v>23</v>
      </c>
      <c r="V5" s="66" t="s">
        <v>24</v>
      </c>
    </row>
    <row r="6" spans="2:22" x14ac:dyDescent="0.25">
      <c r="B6" s="67">
        <v>1</v>
      </c>
      <c r="C6" s="52">
        <f>IF(B6&lt;='Input data'!$E$7+'Input data'!$E$45,1,0)*IF(B6&lt;'Input data'!$E$45+1,0,1)</f>
        <v>0</v>
      </c>
      <c r="D6" s="68">
        <f>C6/(1+'Input data'!$E$5/100)^(B6-'Input data'!$E$6)*IF(B6&lt;'Input data'!$E$6,0,1)</f>
        <v>0</v>
      </c>
      <c r="E6" s="67">
        <v>1</v>
      </c>
      <c r="F6" s="52">
        <f>IF(E6&lt;='Input data'!$D$122+'Input data'!$E$45,1,0)*IF(E6&lt;'Input data'!$E$45+1,0,1)</f>
        <v>0</v>
      </c>
      <c r="G6" s="72">
        <f>F6/(1+'Input data'!$E$5/100)^(E6-'Input data'!$E$6)*IF(E6&lt;'Input data'!$E$6,0,1)</f>
        <v>0</v>
      </c>
      <c r="H6" s="78">
        <v>1</v>
      </c>
      <c r="I6" s="52">
        <f>IF(H6&lt;='Input data'!$E$122+'Input data'!$E$45,1,0)*IF('Discount factors'!H6&lt;'Input data'!$E$45+1,0,1)</f>
        <v>0</v>
      </c>
      <c r="J6" s="68">
        <f>I6/(1+'Input data'!$E$5/100)^(H6-'Input data'!$E$6)*IF(H6&lt;'Input data'!$E$6,0,1)</f>
        <v>0</v>
      </c>
      <c r="K6" s="67">
        <v>1</v>
      </c>
      <c r="L6" s="52">
        <f>IF(K6&lt;='Input data'!$E$7+'Input data'!$E$45,1,0)*IF('Discount factors'!K6&lt;'Input data'!$E$45+1,0,1)</f>
        <v>0</v>
      </c>
      <c r="M6" s="72">
        <f>L6/(1+'Input data'!$D$123/100)^(K6-'Input data'!$E$6)*IF(K6&lt;'Input data'!$E$6,0,1)</f>
        <v>0</v>
      </c>
      <c r="N6" s="78">
        <v>1</v>
      </c>
      <c r="O6" s="52">
        <f>IF(N6&lt;='Input data'!$E$7+'Input data'!$E$45,1,0)*IF(N6&lt;'Input data'!$E$45+1,0,1)</f>
        <v>0</v>
      </c>
      <c r="P6" s="68">
        <f>O6/(1+'Input data'!$E$123/100)^(N6-'Input data'!$E$6)*IF(N6&lt;'Input data'!$E$6,0,1)</f>
        <v>0</v>
      </c>
      <c r="Q6" s="67">
        <v>1</v>
      </c>
      <c r="R6" s="52">
        <f>IF(Q6&lt;='Input data'!$E$7+'Input data'!$E$45,1,0)*IF(Q6&lt;'Input data'!$E$45+1,0,'Input data'!$D$124/'Input data'!$E$11)</f>
        <v>0</v>
      </c>
      <c r="S6" s="72">
        <f>R6/(1+'Input data'!$E$5/100)^(Q6-'Input data'!$E$6)*IF(Q6&lt;'Input data'!$E$6,0,1)</f>
        <v>0</v>
      </c>
      <c r="T6" s="78">
        <v>1</v>
      </c>
      <c r="U6" s="52">
        <f>IF(T6&lt;='Input data'!$E$7+'Input data'!$E$45,1,0)*IF(T6&lt;'Input data'!$E$45+1,0,'Input data'!$E$124/'Input data'!$E$11)</f>
        <v>0</v>
      </c>
      <c r="V6" s="68">
        <f>U6/(1+'Input data'!$E$5/100)^(T6-'Input data'!$E$6)*IF(T6&lt;'Input data'!$E$6,0,1)</f>
        <v>0</v>
      </c>
    </row>
    <row r="7" spans="2:22" x14ac:dyDescent="0.25">
      <c r="B7" s="67">
        <f>B6+1</f>
        <v>2</v>
      </c>
      <c r="C7" s="52">
        <f>IF(B7&lt;='Input data'!$E$7+'Input data'!$E$45,1,0)*IF(B7&lt;'Input data'!$E$45+1,0,1)</f>
        <v>0</v>
      </c>
      <c r="D7" s="68">
        <f>C7/(1+'Input data'!$E$5/100)^(B7-'Input data'!$E$6)*IF(B7&lt;'Input data'!$E$6,0,1)</f>
        <v>0</v>
      </c>
      <c r="E7" s="67">
        <f>E6+1</f>
        <v>2</v>
      </c>
      <c r="F7" s="52">
        <f>IF(E7&lt;='Input data'!$D$122+'Input data'!$E$45,1,0)*IF(E7&lt;'Input data'!$E$45+1,0,1)</f>
        <v>0</v>
      </c>
      <c r="G7" s="72">
        <f>F7/(1+'Input data'!$E$5/100)^(E7-'Input data'!$E$6)*IF(E7&lt;'Input data'!$E$6,0,1)</f>
        <v>0</v>
      </c>
      <c r="H7" s="78">
        <f>H6+1</f>
        <v>2</v>
      </c>
      <c r="I7" s="52">
        <f>IF(H7&lt;='Input data'!$E$122+'Input data'!$E$45,1,0)*IF('Discount factors'!H7&lt;'Input data'!$E$45+1,0,1)</f>
        <v>0</v>
      </c>
      <c r="J7" s="68">
        <f>I7/(1+'Input data'!$E$5/100)^(H7-'Input data'!$E$6)*IF(H7&lt;'Input data'!$E$6,0,1)</f>
        <v>0</v>
      </c>
      <c r="K7" s="67">
        <f>K6+1</f>
        <v>2</v>
      </c>
      <c r="L7" s="52">
        <f>IF(K7&lt;='Input data'!$E$7+'Input data'!$E$45,1,0)*IF('Discount factors'!K7&lt;'Input data'!$E$45+1,0,1)</f>
        <v>0</v>
      </c>
      <c r="M7" s="72">
        <f>L7/(1+'Input data'!$D$123/100)^(K7-'Input data'!$E$6)*IF(K7&lt;'Input data'!$E$6,0,1)</f>
        <v>0</v>
      </c>
      <c r="N7" s="78">
        <f>N6+1</f>
        <v>2</v>
      </c>
      <c r="O7" s="52">
        <f>IF(N7&lt;='Input data'!$E$7+'Input data'!$E$45,1,0)*IF(N7&lt;'Input data'!$E$45+1,0,1)</f>
        <v>0</v>
      </c>
      <c r="P7" s="68">
        <f>O7/(1+'Input data'!$E$123/100)^(N7-'Input data'!$E$6)*IF(N7&lt;'Input data'!$E$6,0,1)</f>
        <v>0</v>
      </c>
      <c r="Q7" s="67">
        <f>Q6+1</f>
        <v>2</v>
      </c>
      <c r="R7" s="52">
        <f>IF(Q7&lt;='Input data'!$E$7+'Input data'!$E$45,1,0)*IF(Q7&lt;'Input data'!$E$45+1,0,'Input data'!$D$124/'Input data'!$E$11)</f>
        <v>0</v>
      </c>
      <c r="S7" s="72">
        <f>R7/(1+'Input data'!$E$5/100)^(Q7-'Input data'!$E$6)*IF(Q7&lt;'Input data'!$E$6,0,1)</f>
        <v>0</v>
      </c>
      <c r="T7" s="78">
        <f>T6+1</f>
        <v>2</v>
      </c>
      <c r="U7" s="52">
        <f>IF(T7&lt;='Input data'!$E$7+'Input data'!$E$45,1,0)*IF(T7&lt;'Input data'!$E$45+1,0,'Input data'!$E$124/'Input data'!$E$11)</f>
        <v>0</v>
      </c>
      <c r="V7" s="68">
        <f>U7/(1+'Input data'!$E$5/100)^(T7-'Input data'!$E$6)*IF(T7&lt;'Input data'!$E$6,0,1)</f>
        <v>0</v>
      </c>
    </row>
    <row r="8" spans="2:22" x14ac:dyDescent="0.25">
      <c r="B8" s="67">
        <f t="shared" ref="B8:B29" si="0">B7+1</f>
        <v>3</v>
      </c>
      <c r="C8" s="52">
        <f>IF(B8&lt;='Input data'!$E$7+'Input data'!$E$45,1,0)*IF(B8&lt;'Input data'!$E$45+1,0,1)</f>
        <v>0</v>
      </c>
      <c r="D8" s="68">
        <f>C8/(1+'Input data'!$E$5/100)^(B8-'Input data'!$E$6)*IF(B8&lt;'Input data'!$E$6,0,1)</f>
        <v>0</v>
      </c>
      <c r="E8" s="67">
        <f t="shared" ref="E8:E29" si="1">E7+1</f>
        <v>3</v>
      </c>
      <c r="F8" s="52">
        <f>IF(E8&lt;='Input data'!$D$122+'Input data'!$E$45,1,0)*IF(E8&lt;'Input data'!$E$45+1,0,1)</f>
        <v>0</v>
      </c>
      <c r="G8" s="72">
        <f>F8/(1+'Input data'!$E$5/100)^(E8-'Input data'!$E$6)*IF(E8&lt;'Input data'!$E$6,0,1)</f>
        <v>0</v>
      </c>
      <c r="H8" s="78">
        <f t="shared" ref="H8:H29" si="2">H7+1</f>
        <v>3</v>
      </c>
      <c r="I8" s="52">
        <f>IF(H8&lt;='Input data'!$E$122+'Input data'!$E$45,1,0)*IF('Discount factors'!H8&lt;'Input data'!$E$45+1,0,1)</f>
        <v>0</v>
      </c>
      <c r="J8" s="68">
        <f>I8/(1+'Input data'!$E$5/100)^(H8-'Input data'!$E$6)*IF(H8&lt;'Input data'!$E$6,0,1)</f>
        <v>0</v>
      </c>
      <c r="K8" s="67">
        <f t="shared" ref="K8:K29" si="3">K7+1</f>
        <v>3</v>
      </c>
      <c r="L8" s="52">
        <f>IF(K8&lt;='Input data'!$E$7+'Input data'!$E$45,1,0)*IF('Discount factors'!K8&lt;'Input data'!$E$45+1,0,1)</f>
        <v>0</v>
      </c>
      <c r="M8" s="72">
        <f>L8/(1+'Input data'!$D$123/100)^(K8-'Input data'!$E$6)*IF(K8&lt;'Input data'!$E$6,0,1)</f>
        <v>0</v>
      </c>
      <c r="N8" s="78">
        <f t="shared" ref="N8:N29" si="4">N7+1</f>
        <v>3</v>
      </c>
      <c r="O8" s="52">
        <f>IF(N8&lt;='Input data'!$E$7+'Input data'!$E$45,1,0)*IF(N8&lt;'Input data'!$E$45+1,0,1)</f>
        <v>0</v>
      </c>
      <c r="P8" s="68">
        <f>O8/(1+'Input data'!$E$123/100)^(N8-'Input data'!$E$6)*IF(N8&lt;'Input data'!$E$6,0,1)</f>
        <v>0</v>
      </c>
      <c r="Q8" s="67">
        <f t="shared" ref="Q8:Q29" si="5">Q7+1</f>
        <v>3</v>
      </c>
      <c r="R8" s="52">
        <f>IF(Q8&lt;='Input data'!$E$7+'Input data'!$E$45,1,0)*IF(Q8&lt;'Input data'!$E$45+1,0,'Input data'!$D$124/'Input data'!$E$11)</f>
        <v>0</v>
      </c>
      <c r="S8" s="72">
        <f>R8/(1+'Input data'!$E$5/100)^(Q8-'Input data'!$E$6)*IF(Q8&lt;'Input data'!$E$6,0,1)</f>
        <v>0</v>
      </c>
      <c r="T8" s="78">
        <f t="shared" ref="T8:T29" si="6">T7+1</f>
        <v>3</v>
      </c>
      <c r="U8" s="52">
        <f>IF(T8&lt;='Input data'!$E$7+'Input data'!$E$45,1,0)*IF(T8&lt;'Input data'!$E$45+1,0,'Input data'!$E$124/'Input data'!$E$11)</f>
        <v>0</v>
      </c>
      <c r="V8" s="68">
        <f>U8/(1+'Input data'!$E$5/100)^(T8-'Input data'!$E$6)*IF(T8&lt;'Input data'!$E$6,0,1)</f>
        <v>0</v>
      </c>
    </row>
    <row r="9" spans="2:22" x14ac:dyDescent="0.25">
      <c r="B9" s="67">
        <f t="shared" si="0"/>
        <v>4</v>
      </c>
      <c r="C9" s="52">
        <f>IF(B9&lt;='Input data'!$E$7+'Input data'!$E$45,1,0)*IF(B9&lt;'Input data'!$E$45+1,0,1)</f>
        <v>1</v>
      </c>
      <c r="D9" s="68">
        <f>C9/(1+'Input data'!$E$5/100)^(B9-'Input data'!$E$6)*IF(B9&lt;'Input data'!$E$6,0,1)</f>
        <v>1</v>
      </c>
      <c r="E9" s="67">
        <f t="shared" si="1"/>
        <v>4</v>
      </c>
      <c r="F9" s="52">
        <f>IF(E9&lt;='Input data'!$D$122+'Input data'!$E$45,1,0)*IF(E9&lt;'Input data'!$E$45+1,0,1)</f>
        <v>1</v>
      </c>
      <c r="G9" s="72">
        <f>F9/(1+'Input data'!$E$5/100)^(E9-'Input data'!$E$6)*IF(E9&lt;'Input data'!$E$6,0,1)</f>
        <v>1</v>
      </c>
      <c r="H9" s="78">
        <f t="shared" si="2"/>
        <v>4</v>
      </c>
      <c r="I9" s="52">
        <f>IF(H9&lt;='Input data'!$E$122+'Input data'!$E$45,1,0)*IF('Discount factors'!H9&lt;'Input data'!$E$45+1,0,1)</f>
        <v>1</v>
      </c>
      <c r="J9" s="68">
        <f>I9/(1+'Input data'!$E$5/100)^(H9-'Input data'!$E$6)*IF(H9&lt;'Input data'!$E$6,0,1)</f>
        <v>1</v>
      </c>
      <c r="K9" s="67">
        <f t="shared" si="3"/>
        <v>4</v>
      </c>
      <c r="L9" s="52">
        <f>IF(K9&lt;='Input data'!$E$7+'Input data'!$E$45,1,0)*IF('Discount factors'!K9&lt;'Input data'!$E$45+1,0,1)</f>
        <v>1</v>
      </c>
      <c r="M9" s="72">
        <f>L9/(1+'Input data'!$D$123/100)^(K9-'Input data'!$E$6)*IF(K9&lt;'Input data'!$E$6,0,1)</f>
        <v>1</v>
      </c>
      <c r="N9" s="78">
        <f t="shared" si="4"/>
        <v>4</v>
      </c>
      <c r="O9" s="52">
        <f>IF(N9&lt;='Input data'!$E$7+'Input data'!$E$45,1,0)*IF(N9&lt;'Input data'!$E$45+1,0,1)</f>
        <v>1</v>
      </c>
      <c r="P9" s="68">
        <f>O9/(1+'Input data'!$E$123/100)^(N9-'Input data'!$E$6)*IF(N9&lt;'Input data'!$E$6,0,1)</f>
        <v>1</v>
      </c>
      <c r="Q9" s="67">
        <f t="shared" si="5"/>
        <v>4</v>
      </c>
      <c r="R9" s="74">
        <f>IF(Q9&lt;='Input data'!$E$7+'Input data'!$E$45,1,0)*IF(Q9&lt;'Input data'!$E$45+1,0,'Input data'!$D$124/'Input data'!$E$11)</f>
        <v>0.73000000000000009</v>
      </c>
      <c r="S9" s="72">
        <f>R9/(1+'Input data'!$E$5/100)^(Q9-'Input data'!$E$6)*IF(Q9&lt;'Input data'!$E$6,0,1)</f>
        <v>0.73000000000000009</v>
      </c>
      <c r="T9" s="78">
        <f t="shared" si="6"/>
        <v>4</v>
      </c>
      <c r="U9" s="74">
        <f>IF(T9&lt;='Input data'!$E$7+'Input data'!$E$45,1,0)*IF(T9&lt;'Input data'!$E$45+1,0,'Input data'!$E$124/'Input data'!$E$11)</f>
        <v>1.0428571428571429</v>
      </c>
      <c r="V9" s="68">
        <f>U9/(1+'Input data'!$E$5/100)^(T9-'Input data'!$E$6)*IF(T9&lt;'Input data'!$E$6,0,1)</f>
        <v>1.0428571428571429</v>
      </c>
    </row>
    <row r="10" spans="2:22" x14ac:dyDescent="0.25">
      <c r="B10" s="67">
        <f t="shared" si="0"/>
        <v>5</v>
      </c>
      <c r="C10" s="52">
        <f>IF(B10&lt;='Input data'!$E$7+'Input data'!$E$45,1,0)*IF(B10&lt;'Input data'!$E$45+1,0,1)</f>
        <v>1</v>
      </c>
      <c r="D10" s="68">
        <f>C10/(1+'Input data'!$E$5/100)^(B10-'Input data'!$E$6)*IF(B10&lt;'Input data'!$E$6,0,1)</f>
        <v>0.92592592592592582</v>
      </c>
      <c r="E10" s="67">
        <f t="shared" si="1"/>
        <v>5</v>
      </c>
      <c r="F10" s="52">
        <f>IF(E10&lt;='Input data'!$D$122+'Input data'!$E$45,1,0)*IF(E10&lt;'Input data'!$E$45+1,0,1)</f>
        <v>1</v>
      </c>
      <c r="G10" s="72">
        <f>F10/(1+'Input data'!$E$5/100)^(E10-'Input data'!$E$6)*IF(E10&lt;'Input data'!$E$6,0,1)</f>
        <v>0.92592592592592582</v>
      </c>
      <c r="H10" s="78">
        <f t="shared" si="2"/>
        <v>5</v>
      </c>
      <c r="I10" s="52">
        <f>IF(H10&lt;='Input data'!$E$122+'Input data'!$E$45,1,0)*IF('Discount factors'!H10&lt;'Input data'!$E$45+1,0,1)</f>
        <v>1</v>
      </c>
      <c r="J10" s="68">
        <f>I10/(1+'Input data'!$E$5/100)^(H10-'Input data'!$E$6)*IF(H10&lt;'Input data'!$E$6,0,1)</f>
        <v>0.92592592592592582</v>
      </c>
      <c r="K10" s="67">
        <f t="shared" si="3"/>
        <v>5</v>
      </c>
      <c r="L10" s="52">
        <f>IF(K10&lt;='Input data'!$E$7+'Input data'!$E$45,1,0)*IF('Discount factors'!K10&lt;'Input data'!$E$45+1,0,1)</f>
        <v>1</v>
      </c>
      <c r="M10" s="72">
        <f>L10/(1+'Input data'!$D$123/100)^(K10-'Input data'!$E$6)*IF(K10&lt;'Input data'!$E$6,0,1)</f>
        <v>0.96153846153846145</v>
      </c>
      <c r="N10" s="78">
        <f t="shared" si="4"/>
        <v>5</v>
      </c>
      <c r="O10" s="52">
        <f>IF(N10&lt;='Input data'!$E$7+'Input data'!$E$45,1,0)*IF(N10&lt;'Input data'!$E$45+1,0,1)</f>
        <v>1</v>
      </c>
      <c r="P10" s="68">
        <f>O10/(1+'Input data'!$E$123/100)^(N10-'Input data'!$E$6)*IF(N10&lt;'Input data'!$E$6,0,1)</f>
        <v>0.89285714285714279</v>
      </c>
      <c r="Q10" s="67">
        <f t="shared" si="5"/>
        <v>5</v>
      </c>
      <c r="R10" s="74">
        <f>IF(Q10&lt;='Input data'!$E$7+'Input data'!$E$45,1,0)*IF(Q10&lt;'Input data'!$E$45+1,0,'Input data'!$D$124/'Input data'!$E$11)</f>
        <v>0.73000000000000009</v>
      </c>
      <c r="S10" s="72">
        <f>R10/(1+'Input data'!$E$5/100)^(Q10-'Input data'!$E$6)*IF(Q10&lt;'Input data'!$E$6,0,1)</f>
        <v>0.67592592592592593</v>
      </c>
      <c r="T10" s="78">
        <f t="shared" si="6"/>
        <v>5</v>
      </c>
      <c r="U10" s="74">
        <f>IF(T10&lt;='Input data'!$E$7+'Input data'!$E$45,1,0)*IF(T10&lt;'Input data'!$E$45+1,0,'Input data'!$E$124/'Input data'!$E$11)</f>
        <v>1.0428571428571429</v>
      </c>
      <c r="V10" s="68">
        <f>U10/(1+'Input data'!$E$5/100)^(T10-'Input data'!$E$6)*IF(T10&lt;'Input data'!$E$6,0,1)</f>
        <v>0.96560846560846558</v>
      </c>
    </row>
    <row r="11" spans="2:22" x14ac:dyDescent="0.25">
      <c r="B11" s="67">
        <f t="shared" si="0"/>
        <v>6</v>
      </c>
      <c r="C11" s="52">
        <f>IF(B11&lt;='Input data'!$E$7+'Input data'!$E$45,1,0)*IF(B11&lt;'Input data'!$E$45+1,0,1)</f>
        <v>1</v>
      </c>
      <c r="D11" s="68">
        <f>C11/(1+'Input data'!$E$5/100)^(B11-'Input data'!$E$6)*IF(B11&lt;'Input data'!$E$6,0,1)</f>
        <v>0.85733882030178321</v>
      </c>
      <c r="E11" s="67">
        <f t="shared" si="1"/>
        <v>6</v>
      </c>
      <c r="F11" s="52">
        <f>IF(E11&lt;='Input data'!$D$122+'Input data'!$E$45,1,0)*IF(E11&lt;'Input data'!$E$45+1,0,1)</f>
        <v>1</v>
      </c>
      <c r="G11" s="72">
        <f>F11/(1+'Input data'!$E$5/100)^(E11-'Input data'!$E$6)*IF(E11&lt;'Input data'!$E$6,0,1)</f>
        <v>0.85733882030178321</v>
      </c>
      <c r="H11" s="78">
        <f t="shared" si="2"/>
        <v>6</v>
      </c>
      <c r="I11" s="52">
        <f>IF(H11&lt;='Input data'!$E$122+'Input data'!$E$45,1,0)*IF('Discount factors'!H11&lt;'Input data'!$E$45+1,0,1)</f>
        <v>1</v>
      </c>
      <c r="J11" s="68">
        <f>I11/(1+'Input data'!$E$5/100)^(H11-'Input data'!$E$6)*IF(H11&lt;'Input data'!$E$6,0,1)</f>
        <v>0.85733882030178321</v>
      </c>
      <c r="K11" s="67">
        <f t="shared" si="3"/>
        <v>6</v>
      </c>
      <c r="L11" s="52">
        <f>IF(K11&lt;='Input data'!$E$7+'Input data'!$E$45,1,0)*IF('Discount factors'!K11&lt;'Input data'!$E$45+1,0,1)</f>
        <v>1</v>
      </c>
      <c r="M11" s="72">
        <f>L11/(1+'Input data'!$D$123/100)^(K11-'Input data'!$E$6)*IF(K11&lt;'Input data'!$E$6,0,1)</f>
        <v>0.92455621301775137</v>
      </c>
      <c r="N11" s="78">
        <f t="shared" si="4"/>
        <v>6</v>
      </c>
      <c r="O11" s="52">
        <f>IF(N11&lt;='Input data'!$E$7+'Input data'!$E$45,1,0)*IF(N11&lt;'Input data'!$E$45+1,0,1)</f>
        <v>1</v>
      </c>
      <c r="P11" s="68">
        <f>O11/(1+'Input data'!$E$123/100)^(N11-'Input data'!$E$6)*IF(N11&lt;'Input data'!$E$6,0,1)</f>
        <v>0.79719387755102034</v>
      </c>
      <c r="Q11" s="67">
        <f t="shared" si="5"/>
        <v>6</v>
      </c>
      <c r="R11" s="74">
        <f>IF(Q11&lt;='Input data'!$E$7+'Input data'!$E$45,1,0)*IF(Q11&lt;'Input data'!$E$45+1,0,'Input data'!$D$124/'Input data'!$E$11)</f>
        <v>0.73000000000000009</v>
      </c>
      <c r="S11" s="72">
        <f>R11/(1+'Input data'!$E$5/100)^(Q11-'Input data'!$E$6)*IF(Q11&lt;'Input data'!$E$6,0,1)</f>
        <v>0.62585733882030181</v>
      </c>
      <c r="T11" s="78">
        <f t="shared" si="6"/>
        <v>6</v>
      </c>
      <c r="U11" s="74">
        <f>IF(T11&lt;='Input data'!$E$7+'Input data'!$E$45,1,0)*IF(T11&lt;'Input data'!$E$45+1,0,'Input data'!$E$124/'Input data'!$E$11)</f>
        <v>1.0428571428571429</v>
      </c>
      <c r="V11" s="68">
        <f>U11/(1+'Input data'!$E$5/100)^(T11-'Input data'!$E$6)*IF(T11&lt;'Input data'!$E$6,0,1)</f>
        <v>0.89408191260043113</v>
      </c>
    </row>
    <row r="12" spans="2:22" x14ac:dyDescent="0.25">
      <c r="B12" s="67">
        <f t="shared" si="0"/>
        <v>7</v>
      </c>
      <c r="C12" s="52">
        <f>IF(B12&lt;='Input data'!$E$7+'Input data'!$E$45,1,0)*IF(B12&lt;'Input data'!$E$45+1,0,1)</f>
        <v>1</v>
      </c>
      <c r="D12" s="68">
        <f>C12/(1+'Input data'!$E$5/100)^(B12-'Input data'!$E$6)*IF(B12&lt;'Input data'!$E$6,0,1)</f>
        <v>0.79383224102016958</v>
      </c>
      <c r="E12" s="67">
        <f t="shared" si="1"/>
        <v>7</v>
      </c>
      <c r="F12" s="52">
        <f>IF(E12&lt;='Input data'!$D$122+'Input data'!$E$45,1,0)*IF(E12&lt;'Input data'!$E$45+1,0,1)</f>
        <v>1</v>
      </c>
      <c r="G12" s="72">
        <f>F12/(1+'Input data'!$E$5/100)^(E12-'Input data'!$E$6)*IF(E12&lt;'Input data'!$E$6,0,1)</f>
        <v>0.79383224102016958</v>
      </c>
      <c r="H12" s="78">
        <f t="shared" si="2"/>
        <v>7</v>
      </c>
      <c r="I12" s="52">
        <f>IF(H12&lt;='Input data'!$E$122+'Input data'!$E$45,1,0)*IF('Discount factors'!H12&lt;'Input data'!$E$45+1,0,1)</f>
        <v>1</v>
      </c>
      <c r="J12" s="68">
        <f>I12/(1+'Input data'!$E$5/100)^(H12-'Input data'!$E$6)*IF(H12&lt;'Input data'!$E$6,0,1)</f>
        <v>0.79383224102016958</v>
      </c>
      <c r="K12" s="67">
        <f t="shared" si="3"/>
        <v>7</v>
      </c>
      <c r="L12" s="52">
        <f>IF(K12&lt;='Input data'!$E$7+'Input data'!$E$45,1,0)*IF('Discount factors'!K12&lt;'Input data'!$E$45+1,0,1)</f>
        <v>1</v>
      </c>
      <c r="M12" s="72">
        <f>L12/(1+'Input data'!$D$123/100)^(K12-'Input data'!$E$6)*IF(K12&lt;'Input data'!$E$6,0,1)</f>
        <v>0.88899635867091487</v>
      </c>
      <c r="N12" s="78">
        <f t="shared" si="4"/>
        <v>7</v>
      </c>
      <c r="O12" s="52">
        <f>IF(N12&lt;='Input data'!$E$7+'Input data'!$E$45,1,0)*IF(N12&lt;'Input data'!$E$45+1,0,1)</f>
        <v>1</v>
      </c>
      <c r="P12" s="68">
        <f>O12/(1+'Input data'!$E$123/100)^(N12-'Input data'!$E$6)*IF(N12&lt;'Input data'!$E$6,0,1)</f>
        <v>0.71178024781341087</v>
      </c>
      <c r="Q12" s="67">
        <f t="shared" si="5"/>
        <v>7</v>
      </c>
      <c r="R12" s="74">
        <f>IF(Q12&lt;='Input data'!$E$7+'Input data'!$E$45,1,0)*IF(Q12&lt;'Input data'!$E$45+1,0,'Input data'!$D$124/'Input data'!$E$11)</f>
        <v>0.73000000000000009</v>
      </c>
      <c r="S12" s="72">
        <f>R12/(1+'Input data'!$E$5/100)^(Q12-'Input data'!$E$6)*IF(Q12&lt;'Input data'!$E$6,0,1)</f>
        <v>0.57949753594472386</v>
      </c>
      <c r="T12" s="78">
        <f t="shared" si="6"/>
        <v>7</v>
      </c>
      <c r="U12" s="74">
        <f>IF(T12&lt;='Input data'!$E$7+'Input data'!$E$45,1,0)*IF(T12&lt;'Input data'!$E$45+1,0,'Input data'!$E$124/'Input data'!$E$11)</f>
        <v>1.0428571428571429</v>
      </c>
      <c r="V12" s="68">
        <f>U12/(1+'Input data'!$E$5/100)^(T12-'Input data'!$E$6)*IF(T12&lt;'Input data'!$E$6,0,1)</f>
        <v>0.82785362277817687</v>
      </c>
    </row>
    <row r="13" spans="2:22" x14ac:dyDescent="0.25">
      <c r="B13" s="67">
        <f t="shared" si="0"/>
        <v>8</v>
      </c>
      <c r="C13" s="52">
        <f>IF(B13&lt;='Input data'!$E$7+'Input data'!$E$45,1,0)*IF(B13&lt;'Input data'!$E$45+1,0,1)</f>
        <v>1</v>
      </c>
      <c r="D13" s="68">
        <f>C13/(1+'Input data'!$E$5/100)^(B13-'Input data'!$E$6)*IF(B13&lt;'Input data'!$E$6,0,1)</f>
        <v>0.73502985279645328</v>
      </c>
      <c r="E13" s="67">
        <f t="shared" si="1"/>
        <v>8</v>
      </c>
      <c r="F13" s="52">
        <f>IF(E13&lt;='Input data'!$D$122+'Input data'!$E$45,1,0)*IF(E13&lt;'Input data'!$E$45+1,0,1)</f>
        <v>1</v>
      </c>
      <c r="G13" s="72">
        <f>F13/(1+'Input data'!$E$5/100)^(E13-'Input data'!$E$6)*IF(E13&lt;'Input data'!$E$6,0,1)</f>
        <v>0.73502985279645328</v>
      </c>
      <c r="H13" s="78">
        <f t="shared" si="2"/>
        <v>8</v>
      </c>
      <c r="I13" s="52">
        <f>IF(H13&lt;='Input data'!$E$122+'Input data'!$E$45,1,0)*IF('Discount factors'!H13&lt;'Input data'!$E$45+1,0,1)</f>
        <v>1</v>
      </c>
      <c r="J13" s="68">
        <f>I13/(1+'Input data'!$E$5/100)^(H13-'Input data'!$E$6)*IF(H13&lt;'Input data'!$E$6,0,1)</f>
        <v>0.73502985279645328</v>
      </c>
      <c r="K13" s="67">
        <f t="shared" si="3"/>
        <v>8</v>
      </c>
      <c r="L13" s="52">
        <f>IF(K13&lt;='Input data'!$E$7+'Input data'!$E$45,1,0)*IF('Discount factors'!K13&lt;'Input data'!$E$45+1,0,1)</f>
        <v>1</v>
      </c>
      <c r="M13" s="72">
        <f>L13/(1+'Input data'!$D$123/100)^(K13-'Input data'!$E$6)*IF(K13&lt;'Input data'!$E$6,0,1)</f>
        <v>0.85480419102972571</v>
      </c>
      <c r="N13" s="78">
        <f t="shared" si="4"/>
        <v>8</v>
      </c>
      <c r="O13" s="52">
        <f>IF(N13&lt;='Input data'!$E$7+'Input data'!$E$45,1,0)*IF(N13&lt;'Input data'!$E$45+1,0,1)</f>
        <v>1</v>
      </c>
      <c r="P13" s="68">
        <f>O13/(1+'Input data'!$E$123/100)^(N13-'Input data'!$E$6)*IF(N13&lt;'Input data'!$E$6,0,1)</f>
        <v>0.63551807840483121</v>
      </c>
      <c r="Q13" s="67">
        <f t="shared" si="5"/>
        <v>8</v>
      </c>
      <c r="R13" s="74">
        <f>IF(Q13&lt;='Input data'!$E$7+'Input data'!$E$45,1,0)*IF(Q13&lt;'Input data'!$E$45+1,0,'Input data'!$D$124/'Input data'!$E$11)</f>
        <v>0.73000000000000009</v>
      </c>
      <c r="S13" s="72">
        <f>R13/(1+'Input data'!$E$5/100)^(Q13-'Input data'!$E$6)*IF(Q13&lt;'Input data'!$E$6,0,1)</f>
        <v>0.53657179254141096</v>
      </c>
      <c r="T13" s="78">
        <f t="shared" si="6"/>
        <v>8</v>
      </c>
      <c r="U13" s="74">
        <f>IF(T13&lt;='Input data'!$E$7+'Input data'!$E$45,1,0)*IF(T13&lt;'Input data'!$E$45+1,0,'Input data'!$E$124/'Input data'!$E$11)</f>
        <v>1.0428571428571429</v>
      </c>
      <c r="V13" s="68">
        <f>U13/(1+'Input data'!$E$5/100)^(T13-'Input data'!$E$6)*IF(T13&lt;'Input data'!$E$6,0,1)</f>
        <v>0.76653113220201563</v>
      </c>
    </row>
    <row r="14" spans="2:22" x14ac:dyDescent="0.25">
      <c r="B14" s="67">
        <f t="shared" si="0"/>
        <v>9</v>
      </c>
      <c r="C14" s="52">
        <f>IF(B14&lt;='Input data'!$E$7+'Input data'!$E$45,1,0)*IF(B14&lt;'Input data'!$E$45+1,0,1)</f>
        <v>1</v>
      </c>
      <c r="D14" s="68">
        <f>C14/(1+'Input data'!$E$5/100)^(B14-'Input data'!$E$6)*IF(B14&lt;'Input data'!$E$6,0,1)</f>
        <v>0.68058319703375303</v>
      </c>
      <c r="E14" s="67">
        <f t="shared" si="1"/>
        <v>9</v>
      </c>
      <c r="F14" s="52">
        <f>IF(E14&lt;='Input data'!$D$122+'Input data'!$E$45,1,0)*IF(E14&lt;'Input data'!$E$45+1,0,1)</f>
        <v>1</v>
      </c>
      <c r="G14" s="72">
        <f>F14/(1+'Input data'!$E$5/100)^(E14-'Input data'!$E$6)*IF(E14&lt;'Input data'!$E$6,0,1)</f>
        <v>0.68058319703375303</v>
      </c>
      <c r="H14" s="78">
        <f t="shared" si="2"/>
        <v>9</v>
      </c>
      <c r="I14" s="52">
        <f>IF(H14&lt;='Input data'!$E$122+'Input data'!$E$45,1,0)*IF('Discount factors'!H14&lt;'Input data'!$E$45+1,0,1)</f>
        <v>1</v>
      </c>
      <c r="J14" s="68">
        <f>I14/(1+'Input data'!$E$5/100)^(H14-'Input data'!$E$6)*IF(H14&lt;'Input data'!$E$6,0,1)</f>
        <v>0.68058319703375303</v>
      </c>
      <c r="K14" s="67">
        <f t="shared" si="3"/>
        <v>9</v>
      </c>
      <c r="L14" s="52">
        <f>IF(K14&lt;='Input data'!$E$7+'Input data'!$E$45,1,0)*IF('Discount factors'!K14&lt;'Input data'!$E$45+1,0,1)</f>
        <v>1</v>
      </c>
      <c r="M14" s="72">
        <f>L14/(1+'Input data'!$D$123/100)^(K14-'Input data'!$E$6)*IF(K14&lt;'Input data'!$E$6,0,1)</f>
        <v>0.82192710675935154</v>
      </c>
      <c r="N14" s="78">
        <f t="shared" si="4"/>
        <v>9</v>
      </c>
      <c r="O14" s="52">
        <f>IF(N14&lt;='Input data'!$E$7+'Input data'!$E$45,1,0)*IF(N14&lt;'Input data'!$E$45+1,0,1)</f>
        <v>1</v>
      </c>
      <c r="P14" s="68">
        <f>O14/(1+'Input data'!$E$123/100)^(N14-'Input data'!$E$6)*IF(N14&lt;'Input data'!$E$6,0,1)</f>
        <v>0.56742685571859919</v>
      </c>
      <c r="Q14" s="67">
        <f t="shared" si="5"/>
        <v>9</v>
      </c>
      <c r="R14" s="74">
        <f>IF(Q14&lt;='Input data'!$E$7+'Input data'!$E$45,1,0)*IF(Q14&lt;'Input data'!$E$45+1,0,'Input data'!$D$124/'Input data'!$E$11)</f>
        <v>0.73000000000000009</v>
      </c>
      <c r="S14" s="72">
        <f>R14/(1+'Input data'!$E$5/100)^(Q14-'Input data'!$E$6)*IF(Q14&lt;'Input data'!$E$6,0,1)</f>
        <v>0.49682573383463974</v>
      </c>
      <c r="T14" s="78">
        <f t="shared" si="6"/>
        <v>9</v>
      </c>
      <c r="U14" s="74">
        <f>IF(T14&lt;='Input data'!$E$7+'Input data'!$E$45,1,0)*IF(T14&lt;'Input data'!$E$45+1,0,'Input data'!$E$124/'Input data'!$E$11)</f>
        <v>1.0428571428571429</v>
      </c>
      <c r="V14" s="68">
        <f>U14/(1+'Input data'!$E$5/100)^(T14-'Input data'!$E$6)*IF(T14&lt;'Input data'!$E$6,0,1)</f>
        <v>0.70975104833519964</v>
      </c>
    </row>
    <row r="15" spans="2:22" x14ac:dyDescent="0.25">
      <c r="B15" s="67">
        <f t="shared" si="0"/>
        <v>10</v>
      </c>
      <c r="C15" s="52">
        <f>IF(B15&lt;='Input data'!$E$7+'Input data'!$E$45,1,0)*IF(B15&lt;'Input data'!$E$45+1,0,1)</f>
        <v>1</v>
      </c>
      <c r="D15" s="68">
        <f>C15/(1+'Input data'!$E$5/100)^(B15-'Input data'!$E$6)*IF(B15&lt;'Input data'!$E$6,0,1)</f>
        <v>0.63016962688310452</v>
      </c>
      <c r="E15" s="67">
        <f t="shared" si="1"/>
        <v>10</v>
      </c>
      <c r="F15" s="52">
        <f>IF(E15&lt;='Input data'!$D$122+'Input data'!$E$45,1,0)*IF(E15&lt;'Input data'!$E$45+1,0,1)</f>
        <v>1</v>
      </c>
      <c r="G15" s="72">
        <f>F15/(1+'Input data'!$E$5/100)^(E15-'Input data'!$E$6)*IF(E15&lt;'Input data'!$E$6,0,1)</f>
        <v>0.63016962688310452</v>
      </c>
      <c r="H15" s="78">
        <f t="shared" si="2"/>
        <v>10</v>
      </c>
      <c r="I15" s="52">
        <f>IF(H15&lt;='Input data'!$E$122+'Input data'!$E$45,1,0)*IF('Discount factors'!H15&lt;'Input data'!$E$45+1,0,1)</f>
        <v>1</v>
      </c>
      <c r="J15" s="68">
        <f>I15/(1+'Input data'!$E$5/100)^(H15-'Input data'!$E$6)*IF(H15&lt;'Input data'!$E$6,0,1)</f>
        <v>0.63016962688310452</v>
      </c>
      <c r="K15" s="67">
        <f t="shared" si="3"/>
        <v>10</v>
      </c>
      <c r="L15" s="52">
        <f>IF(K15&lt;='Input data'!$E$7+'Input data'!$E$45,1,0)*IF('Discount factors'!K15&lt;'Input data'!$E$45+1,0,1)</f>
        <v>1</v>
      </c>
      <c r="M15" s="72">
        <f>L15/(1+'Input data'!$D$123/100)^(K15-'Input data'!$E$6)*IF(K15&lt;'Input data'!$E$6,0,1)</f>
        <v>0.79031452573014571</v>
      </c>
      <c r="N15" s="78">
        <f t="shared" si="4"/>
        <v>10</v>
      </c>
      <c r="O15" s="52">
        <f>IF(N15&lt;='Input data'!$E$7+'Input data'!$E$45,1,0)*IF(N15&lt;'Input data'!$E$45+1,0,1)</f>
        <v>1</v>
      </c>
      <c r="P15" s="68">
        <f>O15/(1+'Input data'!$E$123/100)^(N15-'Input data'!$E$6)*IF(N15&lt;'Input data'!$E$6,0,1)</f>
        <v>0.50663112117732068</v>
      </c>
      <c r="Q15" s="67">
        <f t="shared" si="5"/>
        <v>10</v>
      </c>
      <c r="R15" s="74">
        <f>IF(Q15&lt;='Input data'!$E$7+'Input data'!$E$45,1,0)*IF(Q15&lt;'Input data'!$E$45+1,0,'Input data'!$D$124/'Input data'!$E$11)</f>
        <v>0.73000000000000009</v>
      </c>
      <c r="S15" s="72">
        <f>R15/(1+'Input data'!$E$5/100)^(Q15-'Input data'!$E$6)*IF(Q15&lt;'Input data'!$E$6,0,1)</f>
        <v>0.46002382762466637</v>
      </c>
      <c r="T15" s="78">
        <f t="shared" si="6"/>
        <v>10</v>
      </c>
      <c r="U15" s="74">
        <f>IF(T15&lt;='Input data'!$E$7+'Input data'!$E$45,1,0)*IF(T15&lt;'Input data'!$E$45+1,0,'Input data'!$E$124/'Input data'!$E$11)</f>
        <v>1.0428571428571429</v>
      </c>
      <c r="V15" s="68">
        <f>U15/(1+'Input data'!$E$5/100)^(T15-'Input data'!$E$6)*IF(T15&lt;'Input data'!$E$6,0,1)</f>
        <v>0.65717689660666623</v>
      </c>
    </row>
    <row r="16" spans="2:22" x14ac:dyDescent="0.25">
      <c r="B16" s="67">
        <f t="shared" si="0"/>
        <v>11</v>
      </c>
      <c r="C16" s="52">
        <f>IF(B16&lt;='Input data'!$E$7+'Input data'!$E$45,1,0)*IF(B16&lt;'Input data'!$E$45+1,0,1)</f>
        <v>1</v>
      </c>
      <c r="D16" s="68">
        <f>C16/(1+'Input data'!$E$5/100)^(B16-'Input data'!$E$6)*IF(B16&lt;'Input data'!$E$6,0,1)</f>
        <v>0.58349039526213387</v>
      </c>
      <c r="E16" s="67">
        <f t="shared" si="1"/>
        <v>11</v>
      </c>
      <c r="F16" s="52">
        <f>IF(E16&lt;='Input data'!$D$122+'Input data'!$E$45,1,0)*IF(E16&lt;'Input data'!$E$45+1,0,1)</f>
        <v>1</v>
      </c>
      <c r="G16" s="72">
        <f>F16/(1+'Input data'!$E$5/100)^(E16-'Input data'!$E$6)*IF(E16&lt;'Input data'!$E$6,0,1)</f>
        <v>0.58349039526213387</v>
      </c>
      <c r="H16" s="78">
        <f t="shared" si="2"/>
        <v>11</v>
      </c>
      <c r="I16" s="52">
        <f>IF(H16&lt;='Input data'!$E$122+'Input data'!$E$45,1,0)*IF('Discount factors'!H16&lt;'Input data'!$E$45+1,0,1)</f>
        <v>1</v>
      </c>
      <c r="J16" s="68">
        <f>I16/(1+'Input data'!$E$5/100)^(H16-'Input data'!$E$6)*IF(H16&lt;'Input data'!$E$6,0,1)</f>
        <v>0.58349039526213387</v>
      </c>
      <c r="K16" s="67">
        <f t="shared" si="3"/>
        <v>11</v>
      </c>
      <c r="L16" s="52">
        <f>IF(K16&lt;='Input data'!$E$7+'Input data'!$E$45,1,0)*IF('Discount factors'!K16&lt;'Input data'!$E$45+1,0,1)</f>
        <v>1</v>
      </c>
      <c r="M16" s="72">
        <f>L16/(1+'Input data'!$D$123/100)^(K16-'Input data'!$E$6)*IF(K16&lt;'Input data'!$E$6,0,1)</f>
        <v>0.75991781320206331</v>
      </c>
      <c r="N16" s="78">
        <f t="shared" si="4"/>
        <v>11</v>
      </c>
      <c r="O16" s="52">
        <f>IF(N16&lt;='Input data'!$E$7+'Input data'!$E$45,1,0)*IF(N16&lt;'Input data'!$E$45+1,0,1)</f>
        <v>1</v>
      </c>
      <c r="P16" s="68">
        <f>O16/(1+'Input data'!$E$123/100)^(N16-'Input data'!$E$6)*IF(N16&lt;'Input data'!$E$6,0,1)</f>
        <v>0.45234921533689343</v>
      </c>
      <c r="Q16" s="67">
        <f t="shared" si="5"/>
        <v>11</v>
      </c>
      <c r="R16" s="74">
        <f>IF(Q16&lt;='Input data'!$E$7+'Input data'!$E$45,1,0)*IF(Q16&lt;'Input data'!$E$45+1,0,'Input data'!$D$124/'Input data'!$E$11)</f>
        <v>0.73000000000000009</v>
      </c>
      <c r="S16" s="72">
        <f>R16/(1+'Input data'!$E$5/100)^(Q16-'Input data'!$E$6)*IF(Q16&lt;'Input data'!$E$6,0,1)</f>
        <v>0.42594798854135774</v>
      </c>
      <c r="T16" s="78">
        <f t="shared" si="6"/>
        <v>11</v>
      </c>
      <c r="U16" s="74">
        <f>IF(T16&lt;='Input data'!$E$7+'Input data'!$E$45,1,0)*IF(T16&lt;'Input data'!$E$45+1,0,'Input data'!$E$124/'Input data'!$E$11)</f>
        <v>1.0428571428571429</v>
      </c>
      <c r="V16" s="68">
        <f>U16/(1+'Input data'!$E$5/100)^(T16-'Input data'!$E$6)*IF(T16&lt;'Input data'!$E$6,0,1)</f>
        <v>0.60849712648765386</v>
      </c>
    </row>
    <row r="17" spans="2:22" x14ac:dyDescent="0.25">
      <c r="B17" s="67">
        <f t="shared" si="0"/>
        <v>12</v>
      </c>
      <c r="C17" s="52">
        <f>IF(B17&lt;='Input data'!$E$7+'Input data'!$E$45,1,0)*IF(B17&lt;'Input data'!$E$45+1,0,1)</f>
        <v>1</v>
      </c>
      <c r="D17" s="68">
        <f>C17/(1+'Input data'!$E$5/100)^(B17-'Input data'!$E$6)*IF(B17&lt;'Input data'!$E$6,0,1)</f>
        <v>0.54026888450197574</v>
      </c>
      <c r="E17" s="67">
        <f t="shared" si="1"/>
        <v>12</v>
      </c>
      <c r="F17" s="52">
        <f>IF(E17&lt;='Input data'!$D$122+'Input data'!$E$45,1,0)*IF(E17&lt;'Input data'!$E$45+1,0,1)</f>
        <v>1</v>
      </c>
      <c r="G17" s="72">
        <f>F17/(1+'Input data'!$E$5/100)^(E17-'Input data'!$E$6)*IF(E17&lt;'Input data'!$E$6,0,1)</f>
        <v>0.54026888450197574</v>
      </c>
      <c r="H17" s="78">
        <f t="shared" si="2"/>
        <v>12</v>
      </c>
      <c r="I17" s="52">
        <f>IF(H17&lt;='Input data'!$E$122+'Input data'!$E$45,1,0)*IF('Discount factors'!H17&lt;'Input data'!$E$45+1,0,1)</f>
        <v>1</v>
      </c>
      <c r="J17" s="68">
        <f>I17/(1+'Input data'!$E$5/100)^(H17-'Input data'!$E$6)*IF(H17&lt;'Input data'!$E$6,0,1)</f>
        <v>0.54026888450197574</v>
      </c>
      <c r="K17" s="67">
        <f t="shared" si="3"/>
        <v>12</v>
      </c>
      <c r="L17" s="52">
        <f>IF(K17&lt;='Input data'!$E$7+'Input data'!$E$45,1,0)*IF('Discount factors'!K17&lt;'Input data'!$E$45+1,0,1)</f>
        <v>1</v>
      </c>
      <c r="M17" s="72">
        <f>L17/(1+'Input data'!$D$123/100)^(K17-'Input data'!$E$6)*IF(K17&lt;'Input data'!$E$6,0,1)</f>
        <v>0.73069020500198378</v>
      </c>
      <c r="N17" s="78">
        <f t="shared" si="4"/>
        <v>12</v>
      </c>
      <c r="O17" s="52">
        <f>IF(N17&lt;='Input data'!$E$7+'Input data'!$E$45,1,0)*IF(N17&lt;'Input data'!$E$45+1,0,1)</f>
        <v>1</v>
      </c>
      <c r="P17" s="68">
        <f>O17/(1+'Input data'!$E$123/100)^(N17-'Input data'!$E$6)*IF(N17&lt;'Input data'!$E$6,0,1)</f>
        <v>0.4038832279793691</v>
      </c>
      <c r="Q17" s="67">
        <f t="shared" si="5"/>
        <v>12</v>
      </c>
      <c r="R17" s="74">
        <f>IF(Q17&lt;='Input data'!$E$7+'Input data'!$E$45,1,0)*IF(Q17&lt;'Input data'!$E$45+1,0,'Input data'!$D$124/'Input data'!$E$11)</f>
        <v>0.73000000000000009</v>
      </c>
      <c r="S17" s="72">
        <f>R17/(1+'Input data'!$E$5/100)^(Q17-'Input data'!$E$6)*IF(Q17&lt;'Input data'!$E$6,0,1)</f>
        <v>0.39439628568644236</v>
      </c>
      <c r="T17" s="78">
        <f t="shared" si="6"/>
        <v>12</v>
      </c>
      <c r="U17" s="74">
        <f>IF(T17&lt;='Input data'!$E$7+'Input data'!$E$45,1,0)*IF(T17&lt;'Input data'!$E$45+1,0,'Input data'!$E$124/'Input data'!$E$11)</f>
        <v>1.0428571428571429</v>
      </c>
      <c r="V17" s="68">
        <f>U17/(1+'Input data'!$E$5/100)^(T17-'Input data'!$E$6)*IF(T17&lt;'Input data'!$E$6,0,1)</f>
        <v>0.56342326526634623</v>
      </c>
    </row>
    <row r="18" spans="2:22" x14ac:dyDescent="0.25">
      <c r="B18" s="67">
        <f t="shared" si="0"/>
        <v>13</v>
      </c>
      <c r="C18" s="52">
        <f>IF(B18&lt;='Input data'!$E$7+'Input data'!$E$45,1,0)*IF(B18&lt;'Input data'!$E$45+1,0,1)</f>
        <v>1</v>
      </c>
      <c r="D18" s="68">
        <f>C18/(1+'Input data'!$E$5/100)^(B18-'Input data'!$E$6)*IF(B18&lt;'Input data'!$E$6,0,1)</f>
        <v>0.50024896713145905</v>
      </c>
      <c r="E18" s="67">
        <f t="shared" si="1"/>
        <v>13</v>
      </c>
      <c r="F18" s="52">
        <f>IF(E18&lt;='Input data'!$D$122+'Input data'!$E$45,1,0)*IF(E18&lt;'Input data'!$E$45+1,0,1)</f>
        <v>1</v>
      </c>
      <c r="G18" s="72">
        <f>F18/(1+'Input data'!$E$5/100)^(E18-'Input data'!$E$6)*IF(E18&lt;'Input data'!$E$6,0,1)</f>
        <v>0.50024896713145905</v>
      </c>
      <c r="H18" s="78">
        <f t="shared" si="2"/>
        <v>13</v>
      </c>
      <c r="I18" s="52">
        <f>IF(H18&lt;='Input data'!$E$122+'Input data'!$E$45,1,0)*IF('Discount factors'!H18&lt;'Input data'!$E$45+1,0,1)</f>
        <v>1</v>
      </c>
      <c r="J18" s="68">
        <f>I18/(1+'Input data'!$E$5/100)^(H18-'Input data'!$E$6)*IF(H18&lt;'Input data'!$E$6,0,1)</f>
        <v>0.50024896713145905</v>
      </c>
      <c r="K18" s="67">
        <f t="shared" si="3"/>
        <v>13</v>
      </c>
      <c r="L18" s="52">
        <f>IF(K18&lt;='Input data'!$E$7+'Input data'!$E$45,1,0)*IF('Discount factors'!K18&lt;'Input data'!$E$45+1,0,1)</f>
        <v>1</v>
      </c>
      <c r="M18" s="72">
        <f>L18/(1+'Input data'!$D$123/100)^(K18-'Input data'!$E$6)*IF(K18&lt;'Input data'!$E$6,0,1)</f>
        <v>0.70258673557883045</v>
      </c>
      <c r="N18" s="78">
        <f t="shared" si="4"/>
        <v>13</v>
      </c>
      <c r="O18" s="52">
        <f>IF(N18&lt;='Input data'!$E$7+'Input data'!$E$45,1,0)*IF(N18&lt;'Input data'!$E$45+1,0,1)</f>
        <v>1</v>
      </c>
      <c r="P18" s="68">
        <f>O18/(1+'Input data'!$E$123/100)^(N18-'Input data'!$E$6)*IF(N18&lt;'Input data'!$E$6,0,1)</f>
        <v>0.36061002498157957</v>
      </c>
      <c r="Q18" s="67">
        <f t="shared" si="5"/>
        <v>13</v>
      </c>
      <c r="R18" s="74">
        <f>IF(Q18&lt;='Input data'!$E$7+'Input data'!$E$45,1,0)*IF(Q18&lt;'Input data'!$E$45+1,0,'Input data'!$D$124/'Input data'!$E$11)</f>
        <v>0.73000000000000009</v>
      </c>
      <c r="S18" s="72">
        <f>R18/(1+'Input data'!$E$5/100)^(Q18-'Input data'!$E$6)*IF(Q18&lt;'Input data'!$E$6,0,1)</f>
        <v>0.36518174600596515</v>
      </c>
      <c r="T18" s="78">
        <f t="shared" si="6"/>
        <v>13</v>
      </c>
      <c r="U18" s="74">
        <f>IF(T18&lt;='Input data'!$E$7+'Input data'!$E$45,1,0)*IF(T18&lt;'Input data'!$E$45+1,0,'Input data'!$E$124/'Input data'!$E$11)</f>
        <v>1.0428571428571429</v>
      </c>
      <c r="V18" s="68">
        <f>U18/(1+'Input data'!$E$5/100)^(T18-'Input data'!$E$6)*IF(T18&lt;'Input data'!$E$6,0,1)</f>
        <v>0.52168820857995013</v>
      </c>
    </row>
    <row r="19" spans="2:22" x14ac:dyDescent="0.25">
      <c r="B19" s="67">
        <f t="shared" si="0"/>
        <v>14</v>
      </c>
      <c r="C19" s="52">
        <f>IF(B19&lt;='Input data'!$E$7+'Input data'!$E$45,1,0)*IF(B19&lt;'Input data'!$E$45+1,0,1)</f>
        <v>1</v>
      </c>
      <c r="D19" s="68">
        <f>C19/(1+'Input data'!$E$5/100)^(B19-'Input data'!$E$6)*IF(B19&lt;'Input data'!$E$6,0,1)</f>
        <v>0.46319348808468425</v>
      </c>
      <c r="E19" s="67">
        <f t="shared" si="1"/>
        <v>14</v>
      </c>
      <c r="F19" s="52">
        <f>IF(E19&lt;='Input data'!$D$122+'Input data'!$E$45,1,0)*IF(E19&lt;'Input data'!$E$45+1,0,1)</f>
        <v>0</v>
      </c>
      <c r="G19" s="72">
        <f>F19/(1+'Input data'!$E$5/100)^(E19-'Input data'!$E$6)*IF(E19&lt;'Input data'!$E$6,0,1)</f>
        <v>0</v>
      </c>
      <c r="H19" s="78">
        <f t="shared" si="2"/>
        <v>14</v>
      </c>
      <c r="I19" s="52">
        <f>IF(H19&lt;='Input data'!$E$122+'Input data'!$E$45,1,0)*IF('Discount factors'!H19&lt;'Input data'!$E$45+1,0,1)</f>
        <v>1</v>
      </c>
      <c r="J19" s="68">
        <f>I19/(1+'Input data'!$E$5/100)^(H19-'Input data'!$E$6)*IF(H19&lt;'Input data'!$E$6,0,1)</f>
        <v>0.46319348808468425</v>
      </c>
      <c r="K19" s="67">
        <f t="shared" si="3"/>
        <v>14</v>
      </c>
      <c r="L19" s="52">
        <f>IF(K19&lt;='Input data'!$E$7+'Input data'!$E$45,1,0)*IF('Discount factors'!K19&lt;'Input data'!$E$45+1,0,1)</f>
        <v>1</v>
      </c>
      <c r="M19" s="72">
        <f>L19/(1+'Input data'!$D$123/100)^(K19-'Input data'!$E$6)*IF(K19&lt;'Input data'!$E$6,0,1)</f>
        <v>0.67556416882579851</v>
      </c>
      <c r="N19" s="78">
        <f t="shared" si="4"/>
        <v>14</v>
      </c>
      <c r="O19" s="52">
        <f>IF(N19&lt;='Input data'!$E$7+'Input data'!$E$45,1,0)*IF(N19&lt;'Input data'!$E$45+1,0,1)</f>
        <v>1</v>
      </c>
      <c r="P19" s="68">
        <f>O19/(1+'Input data'!$E$123/100)^(N19-'Input data'!$E$6)*IF(N19&lt;'Input data'!$E$6,0,1)</f>
        <v>0.32197323659069599</v>
      </c>
      <c r="Q19" s="67">
        <f t="shared" si="5"/>
        <v>14</v>
      </c>
      <c r="R19" s="74">
        <f>IF(Q19&lt;='Input data'!$E$7+'Input data'!$E$45,1,0)*IF(Q19&lt;'Input data'!$E$45+1,0,'Input data'!$D$124/'Input data'!$E$11)</f>
        <v>0.73000000000000009</v>
      </c>
      <c r="S19" s="72">
        <f>R19/(1+'Input data'!$E$5/100)^(Q19-'Input data'!$E$6)*IF(Q19&lt;'Input data'!$E$6,0,1)</f>
        <v>0.33813124630181957</v>
      </c>
      <c r="T19" s="78">
        <f t="shared" si="6"/>
        <v>14</v>
      </c>
      <c r="U19" s="74">
        <f>IF(T19&lt;='Input data'!$E$7+'Input data'!$E$45,1,0)*IF(T19&lt;'Input data'!$E$45+1,0,'Input data'!$E$124/'Input data'!$E$11)</f>
        <v>1.0428571428571429</v>
      </c>
      <c r="V19" s="68">
        <f>U19/(1+'Input data'!$E$5/100)^(T19-'Input data'!$E$6)*IF(T19&lt;'Input data'!$E$6,0,1)</f>
        <v>0.48304463757402788</v>
      </c>
    </row>
    <row r="20" spans="2:22" x14ac:dyDescent="0.25">
      <c r="B20" s="67">
        <f t="shared" si="0"/>
        <v>15</v>
      </c>
      <c r="C20" s="52">
        <f>IF(B20&lt;='Input data'!$E$7+'Input data'!$E$45,1,0)*IF(B20&lt;'Input data'!$E$45+1,0,1)</f>
        <v>1</v>
      </c>
      <c r="D20" s="68">
        <f>C20/(1+'Input data'!$E$5/100)^(B20-'Input data'!$E$6)*IF(B20&lt;'Input data'!$E$6,0,1)</f>
        <v>0.42888285933767062</v>
      </c>
      <c r="E20" s="67">
        <f t="shared" si="1"/>
        <v>15</v>
      </c>
      <c r="F20" s="52">
        <f>IF(E20&lt;='Input data'!$D$122+'Input data'!$E$45,1,0)*IF(E20&lt;'Input data'!$E$45+1,0,1)</f>
        <v>0</v>
      </c>
      <c r="G20" s="72">
        <f>F20/(1+'Input data'!$E$5/100)^(E20-'Input data'!$E$6)*IF(E20&lt;'Input data'!$E$6,0,1)</f>
        <v>0</v>
      </c>
      <c r="H20" s="78">
        <f t="shared" si="2"/>
        <v>15</v>
      </c>
      <c r="I20" s="52">
        <f>IF(H20&lt;='Input data'!$E$122+'Input data'!$E$45,1,0)*IF('Discount factors'!H20&lt;'Input data'!$E$45+1,0,1)</f>
        <v>1</v>
      </c>
      <c r="J20" s="68">
        <f>I20/(1+'Input data'!$E$5/100)^(H20-'Input data'!$E$6)*IF(H20&lt;'Input data'!$E$6,0,1)</f>
        <v>0.42888285933767062</v>
      </c>
      <c r="K20" s="67">
        <f t="shared" si="3"/>
        <v>15</v>
      </c>
      <c r="L20" s="52">
        <f>IF(K20&lt;='Input data'!$E$7+'Input data'!$E$45,1,0)*IF('Discount factors'!K20&lt;'Input data'!$E$45+1,0,1)</f>
        <v>1</v>
      </c>
      <c r="M20" s="72">
        <f>L20/(1+'Input data'!$D$123/100)^(K20-'Input data'!$E$6)*IF(K20&lt;'Input data'!$E$6,0,1)</f>
        <v>0.6495809315632679</v>
      </c>
      <c r="N20" s="78">
        <f t="shared" si="4"/>
        <v>15</v>
      </c>
      <c r="O20" s="52">
        <f>IF(N20&lt;='Input data'!$E$7+'Input data'!$E$45,1,0)*IF(N20&lt;'Input data'!$E$45+1,0,1)</f>
        <v>1</v>
      </c>
      <c r="P20" s="68">
        <f>O20/(1+'Input data'!$E$123/100)^(N20-'Input data'!$E$6)*IF(N20&lt;'Input data'!$E$6,0,1)</f>
        <v>0.28747610409883567</v>
      </c>
      <c r="Q20" s="67">
        <f t="shared" si="5"/>
        <v>15</v>
      </c>
      <c r="R20" s="74">
        <f>IF(Q20&lt;='Input data'!$E$7+'Input data'!$E$45,1,0)*IF(Q20&lt;'Input data'!$E$45+1,0,'Input data'!$D$124/'Input data'!$E$11)</f>
        <v>0.73000000000000009</v>
      </c>
      <c r="S20" s="72">
        <f>R20/(1+'Input data'!$E$5/100)^(Q20-'Input data'!$E$6)*IF(Q20&lt;'Input data'!$E$6,0,1)</f>
        <v>0.31308448731649957</v>
      </c>
      <c r="T20" s="78">
        <f t="shared" si="6"/>
        <v>15</v>
      </c>
      <c r="U20" s="74">
        <f>IF(T20&lt;='Input data'!$E$7+'Input data'!$E$45,1,0)*IF(T20&lt;'Input data'!$E$45+1,0,'Input data'!$E$124/'Input data'!$E$11)</f>
        <v>1.0428571428571429</v>
      </c>
      <c r="V20" s="68">
        <f>U20/(1+'Input data'!$E$5/100)^(T20-'Input data'!$E$6)*IF(T20&lt;'Input data'!$E$6,0,1)</f>
        <v>0.44726355330928508</v>
      </c>
    </row>
    <row r="21" spans="2:22" x14ac:dyDescent="0.25">
      <c r="B21" s="67">
        <f t="shared" si="0"/>
        <v>16</v>
      </c>
      <c r="C21" s="52">
        <f>IF(B21&lt;='Input data'!$E$7+'Input data'!$E$45,1,0)*IF(B21&lt;'Input data'!$E$45+1,0,1)</f>
        <v>1</v>
      </c>
      <c r="D21" s="68">
        <f>C21/(1+'Input data'!$E$5/100)^(B21-'Input data'!$E$6)*IF(B21&lt;'Input data'!$E$6,0,1)</f>
        <v>0.39711375864599124</v>
      </c>
      <c r="E21" s="67">
        <f t="shared" si="1"/>
        <v>16</v>
      </c>
      <c r="F21" s="52">
        <f>IF(E21&lt;='Input data'!$D$122+'Input data'!$E$45,1,0)*IF(E21&lt;'Input data'!$E$45+1,0,1)</f>
        <v>0</v>
      </c>
      <c r="G21" s="72">
        <f>F21/(1+'Input data'!$E$5/100)^(E21-'Input data'!$E$6)*IF(E21&lt;'Input data'!$E$6,0,1)</f>
        <v>0</v>
      </c>
      <c r="H21" s="78">
        <f t="shared" si="2"/>
        <v>16</v>
      </c>
      <c r="I21" s="52">
        <f>IF(H21&lt;='Input data'!$E$122+'Input data'!$E$45,1,0)*IF('Discount factors'!H21&lt;'Input data'!$E$45+1,0,1)</f>
        <v>1</v>
      </c>
      <c r="J21" s="68">
        <f>I21/(1+'Input data'!$E$5/100)^(H21-'Input data'!$E$6)*IF(H21&lt;'Input data'!$E$6,0,1)</f>
        <v>0.39711375864599124</v>
      </c>
      <c r="K21" s="67">
        <f t="shared" si="3"/>
        <v>16</v>
      </c>
      <c r="L21" s="52">
        <f>IF(K21&lt;='Input data'!$E$7+'Input data'!$E$45,1,0)*IF('Discount factors'!K21&lt;'Input data'!$E$45+1,0,1)</f>
        <v>1</v>
      </c>
      <c r="M21" s="72">
        <f>L21/(1+'Input data'!$D$123/100)^(K21-'Input data'!$E$6)*IF(K21&lt;'Input data'!$E$6,0,1)</f>
        <v>0.62459704958006512</v>
      </c>
      <c r="N21" s="78">
        <f t="shared" si="4"/>
        <v>16</v>
      </c>
      <c r="O21" s="52">
        <f>IF(N21&lt;='Input data'!$E$7+'Input data'!$E$45,1,0)*IF(N21&lt;'Input data'!$E$45+1,0,1)</f>
        <v>1</v>
      </c>
      <c r="P21" s="68">
        <f>O21/(1+'Input data'!$E$123/100)^(N21-'Input data'!$E$6)*IF(N21&lt;'Input data'!$E$6,0,1)</f>
        <v>0.25667509294538904</v>
      </c>
      <c r="Q21" s="67">
        <f t="shared" si="5"/>
        <v>16</v>
      </c>
      <c r="R21" s="74">
        <f>IF(Q21&lt;='Input data'!$E$7+'Input data'!$E$45,1,0)*IF(Q21&lt;'Input data'!$E$45+1,0,'Input data'!$D$124/'Input data'!$E$11)</f>
        <v>0.73000000000000009</v>
      </c>
      <c r="S21" s="72">
        <f>R21/(1+'Input data'!$E$5/100)^(Q21-'Input data'!$E$6)*IF(Q21&lt;'Input data'!$E$6,0,1)</f>
        <v>0.28989304381157366</v>
      </c>
      <c r="T21" s="78">
        <f t="shared" si="6"/>
        <v>16</v>
      </c>
      <c r="U21" s="74">
        <f>IF(T21&lt;='Input data'!$E$7+'Input data'!$E$45,1,0)*IF(T21&lt;'Input data'!$E$45+1,0,'Input data'!$E$124/'Input data'!$E$11)</f>
        <v>1.0428571428571429</v>
      </c>
      <c r="V21" s="68">
        <f>U21/(1+'Input data'!$E$5/100)^(T21-'Input data'!$E$6)*IF(T21&lt;'Input data'!$E$6,0,1)</f>
        <v>0.4141329197308195</v>
      </c>
    </row>
    <row r="22" spans="2:22" x14ac:dyDescent="0.25">
      <c r="B22" s="67">
        <f t="shared" si="0"/>
        <v>17</v>
      </c>
      <c r="C22" s="52">
        <f>IF(B22&lt;='Input data'!$E$7+'Input data'!$E$45,1,0)*IF(B22&lt;'Input data'!$E$45+1,0,1)</f>
        <v>1</v>
      </c>
      <c r="D22" s="68">
        <f>C22/(1+'Input data'!$E$5/100)^(B22-'Input data'!$E$6)*IF(B22&lt;'Input data'!$E$6,0,1)</f>
        <v>0.36769792467221413</v>
      </c>
      <c r="E22" s="67">
        <f t="shared" si="1"/>
        <v>17</v>
      </c>
      <c r="F22" s="52">
        <f>IF(E22&lt;='Input data'!$D$122+'Input data'!$E$45,1,0)*IF(E22&lt;'Input data'!$E$45+1,0,1)</f>
        <v>0</v>
      </c>
      <c r="G22" s="72">
        <f>F22/(1+'Input data'!$E$5/100)^(E22-'Input data'!$E$6)*IF(E22&lt;'Input data'!$E$6,0,1)</f>
        <v>0</v>
      </c>
      <c r="H22" s="78">
        <f t="shared" si="2"/>
        <v>17</v>
      </c>
      <c r="I22" s="52">
        <f>IF(H22&lt;='Input data'!$E$122+'Input data'!$E$45,1,0)*IF('Discount factors'!H22&lt;'Input data'!$E$45+1,0,1)</f>
        <v>1</v>
      </c>
      <c r="J22" s="68">
        <f>I22/(1+'Input data'!$E$5/100)^(H22-'Input data'!$E$6)*IF(H22&lt;'Input data'!$E$6,0,1)</f>
        <v>0.36769792467221413</v>
      </c>
      <c r="K22" s="67">
        <f t="shared" si="3"/>
        <v>17</v>
      </c>
      <c r="L22" s="52">
        <f>IF(K22&lt;='Input data'!$E$7+'Input data'!$E$45,1,0)*IF('Discount factors'!K22&lt;'Input data'!$E$45+1,0,1)</f>
        <v>1</v>
      </c>
      <c r="M22" s="72">
        <f>L22/(1+'Input data'!$D$123/100)^(K22-'Input data'!$E$6)*IF(K22&lt;'Input data'!$E$6,0,1)</f>
        <v>0.600574086134678</v>
      </c>
      <c r="N22" s="78">
        <f t="shared" si="4"/>
        <v>17</v>
      </c>
      <c r="O22" s="52">
        <f>IF(N22&lt;='Input data'!$E$7+'Input data'!$E$45,1,0)*IF(N22&lt;'Input data'!$E$45+1,0,1)</f>
        <v>1</v>
      </c>
      <c r="P22" s="68">
        <f>O22/(1+'Input data'!$E$123/100)^(N22-'Input data'!$E$6)*IF(N22&lt;'Input data'!$E$6,0,1)</f>
        <v>0.22917419012981158</v>
      </c>
      <c r="Q22" s="67">
        <f t="shared" si="5"/>
        <v>17</v>
      </c>
      <c r="R22" s="74">
        <f>IF(Q22&lt;='Input data'!$E$7+'Input data'!$E$45,1,0)*IF(Q22&lt;'Input data'!$E$45+1,0,'Input data'!$D$124/'Input data'!$E$11)</f>
        <v>0.73000000000000009</v>
      </c>
      <c r="S22" s="72">
        <f>R22/(1+'Input data'!$E$5/100)^(Q22-'Input data'!$E$6)*IF(Q22&lt;'Input data'!$E$6,0,1)</f>
        <v>0.26841948501071633</v>
      </c>
      <c r="T22" s="78">
        <f t="shared" si="6"/>
        <v>17</v>
      </c>
      <c r="U22" s="74">
        <f>IF(T22&lt;='Input data'!$E$7+'Input data'!$E$45,1,0)*IF(T22&lt;'Input data'!$E$45+1,0,'Input data'!$E$124/'Input data'!$E$11)</f>
        <v>1.0428571428571429</v>
      </c>
      <c r="V22" s="68">
        <f>U22/(1+'Input data'!$E$5/100)^(T22-'Input data'!$E$6)*IF(T22&lt;'Input data'!$E$6,0,1)</f>
        <v>0.3834564071581662</v>
      </c>
    </row>
    <row r="23" spans="2:22" x14ac:dyDescent="0.25">
      <c r="B23" s="67">
        <f t="shared" si="0"/>
        <v>18</v>
      </c>
      <c r="C23" s="52">
        <f>IF(B23&lt;='Input data'!$E$7+'Input data'!$E$45,1,0)*IF(B23&lt;'Input data'!$E$45+1,0,1)</f>
        <v>1</v>
      </c>
      <c r="D23" s="68">
        <f>C23/(1+'Input data'!$E$5/100)^(B23-'Input data'!$E$6)*IF(B23&lt;'Input data'!$E$6,0,1)</f>
        <v>0.34046104136316119</v>
      </c>
      <c r="E23" s="67">
        <f t="shared" si="1"/>
        <v>18</v>
      </c>
      <c r="F23" s="52">
        <f>IF(E23&lt;='Input data'!$D$122+'Input data'!$E$45,1,0)*IF(E23&lt;'Input data'!$E$45+1,0,1)</f>
        <v>0</v>
      </c>
      <c r="G23" s="72">
        <f>F23/(1+'Input data'!$E$5/100)^(E23-'Input data'!$E$6)*IF(E23&lt;'Input data'!$E$6,0,1)</f>
        <v>0</v>
      </c>
      <c r="H23" s="78">
        <f t="shared" si="2"/>
        <v>18</v>
      </c>
      <c r="I23" s="52">
        <f>IF(H23&lt;='Input data'!$E$122+'Input data'!$E$45,1,0)*IF('Discount factors'!H23&lt;'Input data'!$E$45+1,0,1)</f>
        <v>1</v>
      </c>
      <c r="J23" s="68">
        <f>I23/(1+'Input data'!$E$5/100)^(H23-'Input data'!$E$6)*IF(H23&lt;'Input data'!$E$6,0,1)</f>
        <v>0.34046104136316119</v>
      </c>
      <c r="K23" s="67">
        <f t="shared" si="3"/>
        <v>18</v>
      </c>
      <c r="L23" s="52">
        <f>IF(K23&lt;='Input data'!$E$7+'Input data'!$E$45,1,0)*IF('Discount factors'!K23&lt;'Input data'!$E$45+1,0,1)</f>
        <v>1</v>
      </c>
      <c r="M23" s="72">
        <f>L23/(1+'Input data'!$D$123/100)^(K23-'Input data'!$E$6)*IF(K23&lt;'Input data'!$E$6,0,1)</f>
        <v>0.57747508282180582</v>
      </c>
      <c r="N23" s="78">
        <f t="shared" si="4"/>
        <v>18</v>
      </c>
      <c r="O23" s="52">
        <f>IF(N23&lt;='Input data'!$E$7+'Input data'!$E$45,1,0)*IF(N23&lt;'Input data'!$E$45+1,0,1)</f>
        <v>1</v>
      </c>
      <c r="P23" s="68">
        <f>O23/(1+'Input data'!$E$123/100)^(N23-'Input data'!$E$6)*IF(N23&lt;'Input data'!$E$6,0,1)</f>
        <v>0.20461981261590317</v>
      </c>
      <c r="Q23" s="67">
        <f t="shared" si="5"/>
        <v>18</v>
      </c>
      <c r="R23" s="74">
        <f>IF(Q23&lt;='Input data'!$E$7+'Input data'!$E$45,1,0)*IF(Q23&lt;'Input data'!$E$45+1,0,'Input data'!$D$124/'Input data'!$E$11)</f>
        <v>0.73000000000000009</v>
      </c>
      <c r="S23" s="72">
        <f>R23/(1+'Input data'!$E$5/100)^(Q23-'Input data'!$E$6)*IF(Q23&lt;'Input data'!$E$6,0,1)</f>
        <v>0.2485365601951077</v>
      </c>
      <c r="T23" s="78">
        <f t="shared" si="6"/>
        <v>18</v>
      </c>
      <c r="U23" s="74">
        <f>IF(T23&lt;='Input data'!$E$7+'Input data'!$E$45,1,0)*IF(T23&lt;'Input data'!$E$45+1,0,'Input data'!$E$124/'Input data'!$E$11)</f>
        <v>1.0428571428571429</v>
      </c>
      <c r="V23" s="68">
        <f>U23/(1+'Input data'!$E$5/100)^(T23-'Input data'!$E$6)*IF(T23&lt;'Input data'!$E$6,0,1)</f>
        <v>0.35505222885015381</v>
      </c>
    </row>
    <row r="24" spans="2:22" x14ac:dyDescent="0.25">
      <c r="B24" s="67">
        <f t="shared" si="0"/>
        <v>19</v>
      </c>
      <c r="C24" s="52">
        <f>IF(B24&lt;='Input data'!$E$7+'Input data'!$E$45,1,0)*IF(B24&lt;'Input data'!$E$45+1,0,1)</f>
        <v>1</v>
      </c>
      <c r="D24" s="68">
        <f>C24/(1+'Input data'!$E$5/100)^(B24-'Input data'!$E$6)*IF(B24&lt;'Input data'!$E$6,0,1)</f>
        <v>0.31524170496588994</v>
      </c>
      <c r="E24" s="67">
        <f t="shared" si="1"/>
        <v>19</v>
      </c>
      <c r="F24" s="52">
        <f>IF(E24&lt;='Input data'!$D$122+'Input data'!$E$45,1,0)*IF(E24&lt;'Input data'!$E$45+1,0,1)</f>
        <v>0</v>
      </c>
      <c r="G24" s="72">
        <f>F24/(1+'Input data'!$E$5/100)^(E24-'Input data'!$E$6)*IF(E24&lt;'Input data'!$E$6,0,1)</f>
        <v>0</v>
      </c>
      <c r="H24" s="78">
        <f t="shared" si="2"/>
        <v>19</v>
      </c>
      <c r="I24" s="52">
        <f>IF(H24&lt;='Input data'!$E$122+'Input data'!$E$45,1,0)*IF('Discount factors'!H24&lt;'Input data'!$E$45+1,0,1)</f>
        <v>1</v>
      </c>
      <c r="J24" s="68">
        <f>I24/(1+'Input data'!$E$5/100)^(H24-'Input data'!$E$6)*IF(H24&lt;'Input data'!$E$6,0,1)</f>
        <v>0.31524170496588994</v>
      </c>
      <c r="K24" s="67">
        <f t="shared" si="3"/>
        <v>19</v>
      </c>
      <c r="L24" s="52">
        <f>IF(K24&lt;='Input data'!$E$7+'Input data'!$E$45,1,0)*IF('Discount factors'!K24&lt;'Input data'!$E$45+1,0,1)</f>
        <v>1</v>
      </c>
      <c r="M24" s="72">
        <f>L24/(1+'Input data'!$D$123/100)^(K24-'Input data'!$E$6)*IF(K24&lt;'Input data'!$E$6,0,1)</f>
        <v>0.55526450271327477</v>
      </c>
      <c r="N24" s="78">
        <f t="shared" si="4"/>
        <v>19</v>
      </c>
      <c r="O24" s="52">
        <f>IF(N24&lt;='Input data'!$E$7+'Input data'!$E$45,1,0)*IF(N24&lt;'Input data'!$E$45+1,0,1)</f>
        <v>1</v>
      </c>
      <c r="P24" s="68">
        <f>O24/(1+'Input data'!$E$123/100)^(N24-'Input data'!$E$6)*IF(N24&lt;'Input data'!$E$6,0,1)</f>
        <v>0.18269626126419927</v>
      </c>
      <c r="Q24" s="67">
        <f t="shared" si="5"/>
        <v>19</v>
      </c>
      <c r="R24" s="74">
        <f>IF(Q24&lt;='Input data'!$E$7+'Input data'!$E$45,1,0)*IF(Q24&lt;'Input data'!$E$45+1,0,'Input data'!$D$124/'Input data'!$E$11)</f>
        <v>0.73000000000000009</v>
      </c>
      <c r="S24" s="72">
        <f>R24/(1+'Input data'!$E$5/100)^(Q24-'Input data'!$E$6)*IF(Q24&lt;'Input data'!$E$6,0,1)</f>
        <v>0.23012644462509971</v>
      </c>
      <c r="T24" s="78">
        <f t="shared" si="6"/>
        <v>19</v>
      </c>
      <c r="U24" s="74">
        <f>IF(T24&lt;='Input data'!$E$7+'Input data'!$E$45,1,0)*IF(T24&lt;'Input data'!$E$45+1,0,'Input data'!$E$124/'Input data'!$E$11)</f>
        <v>1.0428571428571429</v>
      </c>
      <c r="V24" s="68">
        <f>U24/(1+'Input data'!$E$5/100)^(T24-'Input data'!$E$6)*IF(T24&lt;'Input data'!$E$6,0,1)</f>
        <v>0.32875206375014243</v>
      </c>
    </row>
    <row r="25" spans="2:22" x14ac:dyDescent="0.25">
      <c r="B25" s="67">
        <f t="shared" si="0"/>
        <v>20</v>
      </c>
      <c r="C25" s="52">
        <f>IF(B25&lt;='Input data'!$E$7+'Input data'!$E$45,1,0)*IF(B25&lt;'Input data'!$E$45+1,0,1)</f>
        <v>1</v>
      </c>
      <c r="D25" s="68">
        <f>C25/(1+'Input data'!$E$5/100)^(B25-'Input data'!$E$6)*IF(B25&lt;'Input data'!$E$6,0,1)</f>
        <v>0.29189046756100923</v>
      </c>
      <c r="E25" s="67">
        <f t="shared" si="1"/>
        <v>20</v>
      </c>
      <c r="F25" s="52">
        <f>IF(E25&lt;='Input data'!$D$122+'Input data'!$E$45,1,0)*IF(E25&lt;'Input data'!$E$45+1,0,1)</f>
        <v>0</v>
      </c>
      <c r="G25" s="72">
        <f>F25/(1+'Input data'!$E$5/100)^(E25-'Input data'!$E$6)*IF(E25&lt;'Input data'!$E$6,0,1)</f>
        <v>0</v>
      </c>
      <c r="H25" s="78">
        <f t="shared" si="2"/>
        <v>20</v>
      </c>
      <c r="I25" s="52">
        <f>IF(H25&lt;='Input data'!$E$122+'Input data'!$E$45,1,0)*IF('Discount factors'!H25&lt;'Input data'!$E$45+1,0,1)</f>
        <v>1</v>
      </c>
      <c r="J25" s="68">
        <f>I25/(1+'Input data'!$E$5/100)^(H25-'Input data'!$E$6)*IF(H25&lt;'Input data'!$E$6,0,1)</f>
        <v>0.29189046756100923</v>
      </c>
      <c r="K25" s="67">
        <f t="shared" si="3"/>
        <v>20</v>
      </c>
      <c r="L25" s="52">
        <f>IF(K25&lt;='Input data'!$E$7+'Input data'!$E$45,1,0)*IF('Discount factors'!K25&lt;'Input data'!$E$45+1,0,1)</f>
        <v>1</v>
      </c>
      <c r="M25" s="72">
        <f>L25/(1+'Input data'!$D$123/100)^(K25-'Input data'!$E$6)*IF(K25&lt;'Input data'!$E$6,0,1)</f>
        <v>0.53390817568584104</v>
      </c>
      <c r="N25" s="78">
        <f t="shared" si="4"/>
        <v>20</v>
      </c>
      <c r="O25" s="52">
        <f>IF(N25&lt;='Input data'!$E$7+'Input data'!$E$45,1,0)*IF(N25&lt;'Input data'!$E$45+1,0,1)</f>
        <v>1</v>
      </c>
      <c r="P25" s="68">
        <f>O25/(1+'Input data'!$E$123/100)^(N25-'Input data'!$E$6)*IF(N25&lt;'Input data'!$E$6,0,1)</f>
        <v>0.16312166184303503</v>
      </c>
      <c r="Q25" s="67">
        <f t="shared" si="5"/>
        <v>20</v>
      </c>
      <c r="R25" s="74">
        <f>IF(Q25&lt;='Input data'!$E$7+'Input data'!$E$45,1,0)*IF(Q25&lt;'Input data'!$E$45+1,0,'Input data'!$D$124/'Input data'!$E$11)</f>
        <v>0.73000000000000009</v>
      </c>
      <c r="S25" s="72">
        <f>R25/(1+'Input data'!$E$5/100)^(Q25-'Input data'!$E$6)*IF(Q25&lt;'Input data'!$E$6,0,1)</f>
        <v>0.21308004131953676</v>
      </c>
      <c r="T25" s="78">
        <f t="shared" si="6"/>
        <v>20</v>
      </c>
      <c r="U25" s="74">
        <f>IF(T25&lt;='Input data'!$E$7+'Input data'!$E$45,1,0)*IF(T25&lt;'Input data'!$E$45+1,0,'Input data'!$E$124/'Input data'!$E$11)</f>
        <v>1.0428571428571429</v>
      </c>
      <c r="V25" s="68">
        <f>U25/(1+'Input data'!$E$5/100)^(T25-'Input data'!$E$6)*IF(T25&lt;'Input data'!$E$6,0,1)</f>
        <v>0.30440005902790962</v>
      </c>
    </row>
    <row r="26" spans="2:22" x14ac:dyDescent="0.25">
      <c r="B26" s="67">
        <f t="shared" si="0"/>
        <v>21</v>
      </c>
      <c r="C26" s="52">
        <f>IF(B26&lt;='Input data'!$E$7+'Input data'!$E$45,1,0)*IF(B26&lt;'Input data'!$E$45+1,0,1)</f>
        <v>1</v>
      </c>
      <c r="D26" s="68">
        <f>C26/(1+'Input data'!$E$5/100)^(B26-'Input data'!$E$6)*IF(B26&lt;'Input data'!$E$6,0,1)</f>
        <v>0.27026895144537894</v>
      </c>
      <c r="E26" s="67">
        <f t="shared" si="1"/>
        <v>21</v>
      </c>
      <c r="F26" s="52">
        <f>IF(E26&lt;='Input data'!$D$122+'Input data'!$E$45,1,0)*IF(E26&lt;'Input data'!$E$45+1,0,1)</f>
        <v>0</v>
      </c>
      <c r="G26" s="72">
        <f>F26/(1+'Input data'!$E$5/100)^(E26-'Input data'!$E$6)*IF(E26&lt;'Input data'!$E$6,0,1)</f>
        <v>0</v>
      </c>
      <c r="H26" s="78">
        <f t="shared" si="2"/>
        <v>21</v>
      </c>
      <c r="I26" s="52">
        <f>IF(H26&lt;='Input data'!$E$122+'Input data'!$E$45,1,0)*IF('Discount factors'!H26&lt;'Input data'!$E$45+1,0,1)</f>
        <v>1</v>
      </c>
      <c r="J26" s="68">
        <f>I26/(1+'Input data'!$E$5/100)^(H26-'Input data'!$E$6)*IF(H26&lt;'Input data'!$E$6,0,1)</f>
        <v>0.27026895144537894</v>
      </c>
      <c r="K26" s="67">
        <f t="shared" si="3"/>
        <v>21</v>
      </c>
      <c r="L26" s="52">
        <f>IF(K26&lt;='Input data'!$E$7+'Input data'!$E$45,1,0)*IF('Discount factors'!K26&lt;'Input data'!$E$45+1,0,1)</f>
        <v>1</v>
      </c>
      <c r="M26" s="72">
        <f>L26/(1+'Input data'!$D$123/100)^(K26-'Input data'!$E$6)*IF(K26&lt;'Input data'!$E$6,0,1)</f>
        <v>0.51337324585177024</v>
      </c>
      <c r="N26" s="78">
        <f t="shared" si="4"/>
        <v>21</v>
      </c>
      <c r="O26" s="52">
        <f>IF(N26&lt;='Input data'!$E$7+'Input data'!$E$45,1,0)*IF(N26&lt;'Input data'!$E$45+1,0,1)</f>
        <v>1</v>
      </c>
      <c r="P26" s="68">
        <f>O26/(1+'Input data'!$E$123/100)^(N26-'Input data'!$E$6)*IF(N26&lt;'Input data'!$E$6,0,1)</f>
        <v>0.14564434093128129</v>
      </c>
      <c r="Q26" s="67">
        <f t="shared" si="5"/>
        <v>21</v>
      </c>
      <c r="R26" s="74">
        <f>IF(Q26&lt;='Input data'!$E$7+'Input data'!$E$45,1,0)*IF(Q26&lt;'Input data'!$E$45+1,0,'Input data'!$D$124/'Input data'!$E$11)</f>
        <v>0.73000000000000009</v>
      </c>
      <c r="S26" s="72">
        <f>R26/(1+'Input data'!$E$5/100)^(Q26-'Input data'!$E$6)*IF(Q26&lt;'Input data'!$E$6,0,1)</f>
        <v>0.19729633455512663</v>
      </c>
      <c r="T26" s="78">
        <f t="shared" si="6"/>
        <v>21</v>
      </c>
      <c r="U26" s="74">
        <f>IF(T26&lt;='Input data'!$E$7+'Input data'!$E$45,1,0)*IF(T26&lt;'Input data'!$E$45+1,0,'Input data'!$E$124/'Input data'!$E$11)</f>
        <v>1.0428571428571429</v>
      </c>
      <c r="V26" s="68">
        <f>U26/(1+'Input data'!$E$5/100)^(T26-'Input data'!$E$6)*IF(T26&lt;'Input data'!$E$6,0,1)</f>
        <v>0.28185190650732372</v>
      </c>
    </row>
    <row r="27" spans="2:22" x14ac:dyDescent="0.25">
      <c r="B27" s="67">
        <f t="shared" si="0"/>
        <v>22</v>
      </c>
      <c r="C27" s="52">
        <f>IF(B27&lt;='Input data'!$E$7+'Input data'!$E$45,1,0)*IF(B27&lt;'Input data'!$E$45+1,0,1)</f>
        <v>1</v>
      </c>
      <c r="D27" s="68">
        <f>C27/(1+'Input data'!$E$5/100)^(B27-'Input data'!$E$6)*IF(B27&lt;'Input data'!$E$6,0,1)</f>
        <v>0.25024902911609154</v>
      </c>
      <c r="E27" s="67">
        <f t="shared" si="1"/>
        <v>22</v>
      </c>
      <c r="F27" s="52">
        <f>IF(E27&lt;='Input data'!$D$122+'Input data'!$E$45,1,0)*IF(E27&lt;'Input data'!$E$45+1,0,1)</f>
        <v>0</v>
      </c>
      <c r="G27" s="72">
        <f>F27/(1+'Input data'!$E$5/100)^(E27-'Input data'!$E$6)*IF(E27&lt;'Input data'!$E$6,0,1)</f>
        <v>0</v>
      </c>
      <c r="H27" s="78">
        <f t="shared" si="2"/>
        <v>22</v>
      </c>
      <c r="I27" s="52">
        <f>IF(H27&lt;='Input data'!$E$122+'Input data'!$E$45,1,0)*IF('Discount factors'!H27&lt;'Input data'!$E$45+1,0,1)</f>
        <v>1</v>
      </c>
      <c r="J27" s="68">
        <f>I27/(1+'Input data'!$E$5/100)^(H27-'Input data'!$E$6)*IF(H27&lt;'Input data'!$E$6,0,1)</f>
        <v>0.25024902911609154</v>
      </c>
      <c r="K27" s="67">
        <f t="shared" si="3"/>
        <v>22</v>
      </c>
      <c r="L27" s="52">
        <f>IF(K27&lt;='Input data'!$E$7+'Input data'!$E$45,1,0)*IF('Discount factors'!K27&lt;'Input data'!$E$45+1,0,1)</f>
        <v>1</v>
      </c>
      <c r="M27" s="72">
        <f>L27/(1+'Input data'!$D$123/100)^(K27-'Input data'!$E$6)*IF(K27&lt;'Input data'!$E$6,0,1)</f>
        <v>0.49362812101131748</v>
      </c>
      <c r="N27" s="78">
        <f t="shared" si="4"/>
        <v>22</v>
      </c>
      <c r="O27" s="52">
        <f>IF(N27&lt;='Input data'!$E$7+'Input data'!$E$45,1,0)*IF(N27&lt;'Input data'!$E$45+1,0,1)</f>
        <v>1</v>
      </c>
      <c r="P27" s="68">
        <f>O27/(1+'Input data'!$E$123/100)^(N27-'Input data'!$E$6)*IF(N27&lt;'Input data'!$E$6,0,1)</f>
        <v>0.13003959011721541</v>
      </c>
      <c r="Q27" s="67">
        <f t="shared" si="5"/>
        <v>22</v>
      </c>
      <c r="R27" s="74">
        <f>IF(Q27&lt;='Input data'!$E$7+'Input data'!$E$45,1,0)*IF(Q27&lt;'Input data'!$E$45+1,0,'Input data'!$D$124/'Input data'!$E$11)</f>
        <v>0.73000000000000009</v>
      </c>
      <c r="S27" s="72">
        <f>R27/(1+'Input data'!$E$5/100)^(Q27-'Input data'!$E$6)*IF(Q27&lt;'Input data'!$E$6,0,1)</f>
        <v>0.18268179125474687</v>
      </c>
      <c r="T27" s="78">
        <f t="shared" si="6"/>
        <v>22</v>
      </c>
      <c r="U27" s="74">
        <f>IF(T27&lt;='Input data'!$E$7+'Input data'!$E$45,1,0)*IF(T27&lt;'Input data'!$E$45+1,0,'Input data'!$E$124/'Input data'!$E$11)</f>
        <v>1.0428571428571429</v>
      </c>
      <c r="V27" s="68">
        <f>U27/(1+'Input data'!$E$5/100)^(T27-'Input data'!$E$6)*IF(T27&lt;'Input data'!$E$6,0,1)</f>
        <v>0.26097398750678119</v>
      </c>
    </row>
    <row r="28" spans="2:22" x14ac:dyDescent="0.25">
      <c r="B28" s="67">
        <f t="shared" si="0"/>
        <v>23</v>
      </c>
      <c r="C28" s="52">
        <f>IF(B28&lt;='Input data'!$E$7+'Input data'!$E$45,1,0)*IF(B28&lt;'Input data'!$E$45+1,0,1)</f>
        <v>1</v>
      </c>
      <c r="D28" s="68">
        <f>C28/(1+'Input data'!$E$5/100)^(B28-'Input data'!$E$6)*IF(B28&lt;'Input data'!$E$6,0,1)</f>
        <v>0.23171206399638106</v>
      </c>
      <c r="E28" s="67">
        <f t="shared" si="1"/>
        <v>23</v>
      </c>
      <c r="F28" s="52">
        <f>IF(E28&lt;='Input data'!$D$122+'Input data'!$E$45,1,0)*IF(E28&lt;'Input data'!$E$45+1,0,1)</f>
        <v>0</v>
      </c>
      <c r="G28" s="72">
        <f>F28/(1+'Input data'!$E$5/100)^(E28-'Input data'!$E$6)*IF(E28&lt;'Input data'!$E$6,0,1)</f>
        <v>0</v>
      </c>
      <c r="H28" s="78">
        <f t="shared" si="2"/>
        <v>23</v>
      </c>
      <c r="I28" s="52">
        <f>IF(H28&lt;='Input data'!$E$122+'Input data'!$E$45,1,0)*IF('Discount factors'!H28&lt;'Input data'!$E$45+1,0,1)</f>
        <v>1</v>
      </c>
      <c r="J28" s="68">
        <f>I28/(1+'Input data'!$E$5/100)^(H28-'Input data'!$E$6)*IF(H28&lt;'Input data'!$E$6,0,1)</f>
        <v>0.23171206399638106</v>
      </c>
      <c r="K28" s="67">
        <f t="shared" si="3"/>
        <v>23</v>
      </c>
      <c r="L28" s="52">
        <f>IF(K28&lt;='Input data'!$E$7+'Input data'!$E$45,1,0)*IF('Discount factors'!K28&lt;'Input data'!$E$45+1,0,1)</f>
        <v>1</v>
      </c>
      <c r="M28" s="72">
        <f>L28/(1+'Input data'!$D$123/100)^(K28-'Input data'!$E$6)*IF(K28&lt;'Input data'!$E$6,0,1)</f>
        <v>0.47464242404934376</v>
      </c>
      <c r="N28" s="78">
        <f t="shared" si="4"/>
        <v>23</v>
      </c>
      <c r="O28" s="52">
        <f>IF(N28&lt;='Input data'!$E$7+'Input data'!$E$45,1,0)*IF(N28&lt;'Input data'!$E$45+1,0,1)</f>
        <v>1</v>
      </c>
      <c r="P28" s="68">
        <f>O28/(1+'Input data'!$E$123/100)^(N28-'Input data'!$E$6)*IF(N28&lt;'Input data'!$E$6,0,1)</f>
        <v>0.1161067768903709</v>
      </c>
      <c r="Q28" s="67">
        <f t="shared" si="5"/>
        <v>23</v>
      </c>
      <c r="R28" s="74">
        <f>IF(Q28&lt;='Input data'!$E$7+'Input data'!$E$45,1,0)*IF(Q28&lt;'Input data'!$E$45+1,0,'Input data'!$D$124/'Input data'!$E$11)</f>
        <v>0.73000000000000009</v>
      </c>
      <c r="S28" s="72">
        <f>R28/(1+'Input data'!$E$5/100)^(Q28-'Input data'!$E$6)*IF(Q28&lt;'Input data'!$E$6,0,1)</f>
        <v>0.16914980671735819</v>
      </c>
      <c r="T28" s="78">
        <f t="shared" si="6"/>
        <v>23</v>
      </c>
      <c r="U28" s="74">
        <f>IF(T28&lt;='Input data'!$E$7+'Input data'!$E$45,1,0)*IF(T28&lt;'Input data'!$E$45+1,0,'Input data'!$E$124/'Input data'!$E$11)</f>
        <v>1.0428571428571429</v>
      </c>
      <c r="V28" s="68">
        <f>U28/(1+'Input data'!$E$5/100)^(T28-'Input data'!$E$6)*IF(T28&lt;'Input data'!$E$6,0,1)</f>
        <v>0.24164258102479741</v>
      </c>
    </row>
    <row r="29" spans="2:22" x14ac:dyDescent="0.25">
      <c r="B29" s="67">
        <f t="shared" si="0"/>
        <v>24</v>
      </c>
      <c r="C29" s="52">
        <f>IF(B29&lt;='Input data'!$E$7+'Input data'!$E$45,1,0)*IF(B29&lt;'Input data'!$E$45+1,0,1)</f>
        <v>1</v>
      </c>
      <c r="D29" s="68">
        <f>C29/(1+'Input data'!$E$5/100)^(B29-'Input data'!$E$6)*IF(B29&lt;'Input data'!$E$6,0,1)</f>
        <v>0.21454820740405653</v>
      </c>
      <c r="E29" s="67">
        <f t="shared" si="1"/>
        <v>24</v>
      </c>
      <c r="F29" s="52">
        <f>IF(E29&lt;='Input data'!$D$122+'Input data'!$E$45,1,0)*IF(E29&lt;'Input data'!$E$45+1,0,1)</f>
        <v>0</v>
      </c>
      <c r="G29" s="72">
        <f>F29/(1+'Input data'!$E$5/100)^(E29-'Input data'!$E$6)*IF(E29&lt;'Input data'!$E$6,0,1)</f>
        <v>0</v>
      </c>
      <c r="H29" s="78">
        <f t="shared" si="2"/>
        <v>24</v>
      </c>
      <c r="I29" s="52">
        <f>IF(H29&lt;='Input data'!$E$122+'Input data'!$E$45,1,0)*IF('Discount factors'!H29&lt;'Input data'!$E$45+1,0,1)</f>
        <v>1</v>
      </c>
      <c r="J29" s="68">
        <f>I29/(1+'Input data'!$E$5/100)^(H29-'Input data'!$E$6)*IF(H29&lt;'Input data'!$E$6,0,1)</f>
        <v>0.21454820740405653</v>
      </c>
      <c r="K29" s="67">
        <f t="shared" si="3"/>
        <v>24</v>
      </c>
      <c r="L29" s="52">
        <f>IF(K29&lt;='Input data'!$E$7+'Input data'!$E$45,1,0)*IF('Discount factors'!K29&lt;'Input data'!$E$45+1,0,1)</f>
        <v>1</v>
      </c>
      <c r="M29" s="72">
        <f>L29/(1+'Input data'!$D$123/100)^(K29-'Input data'!$E$6)*IF(K29&lt;'Input data'!$E$6,0,1)</f>
        <v>0.45638694620129205</v>
      </c>
      <c r="N29" s="78">
        <f t="shared" si="4"/>
        <v>24</v>
      </c>
      <c r="O29" s="52">
        <f>IF(N29&lt;='Input data'!$E$7+'Input data'!$E$45,1,0)*IF(N29&lt;'Input data'!$E$45+1,0,1)</f>
        <v>1</v>
      </c>
      <c r="P29" s="68">
        <f>O29/(1+'Input data'!$E$123/100)^(N29-'Input data'!$E$6)*IF(N29&lt;'Input data'!$E$6,0,1)</f>
        <v>0.1036667650806883</v>
      </c>
      <c r="Q29" s="67">
        <f t="shared" si="5"/>
        <v>24</v>
      </c>
      <c r="R29" s="74">
        <f>IF(Q29&lt;='Input data'!$E$7+'Input data'!$E$45,1,0)*IF(Q29&lt;'Input data'!$E$45+1,0,'Input data'!$D$124/'Input data'!$E$11)</f>
        <v>0.73000000000000009</v>
      </c>
      <c r="S29" s="72">
        <f>R29/(1+'Input data'!$E$5/100)^(Q29-'Input data'!$E$6)*IF(Q29&lt;'Input data'!$E$6,0,1)</f>
        <v>0.15662019140496131</v>
      </c>
      <c r="T29" s="78">
        <f t="shared" si="6"/>
        <v>24</v>
      </c>
      <c r="U29" s="74">
        <f>IF(T29&lt;='Input data'!$E$7+'Input data'!$E$45,1,0)*IF(T29&lt;'Input data'!$E$45+1,0,'Input data'!$E$124/'Input data'!$E$11)</f>
        <v>1.0428571428571429</v>
      </c>
      <c r="V29" s="68">
        <f>U29/(1+'Input data'!$E$5/100)^(T29-'Input data'!$E$6)*IF(T29&lt;'Input data'!$E$6,0,1)</f>
        <v>0.22374313057851611</v>
      </c>
    </row>
    <row r="30" spans="2:22" x14ac:dyDescent="0.25">
      <c r="B30" s="67">
        <f>B29+1</f>
        <v>25</v>
      </c>
      <c r="C30" s="52">
        <f>IF(B30&lt;='Input data'!$E$7+'Input data'!$E$45,1,0)*IF(B30&lt;'Input data'!$E$45+1,0,1)</f>
        <v>1</v>
      </c>
      <c r="D30" s="68">
        <f>C30/(1+'Input data'!$E$5/100)^(B30-'Input data'!$E$6)*IF(B30&lt;'Input data'!$E$6,0,1)</f>
        <v>0.19865574759634863</v>
      </c>
      <c r="E30" s="67">
        <f>E29+1</f>
        <v>25</v>
      </c>
      <c r="F30" s="52">
        <f>IF(E30&lt;='Input data'!$D$122+'Input data'!$E$45,1,0)*IF(E30&lt;'Input data'!$E$45+1,0,1)</f>
        <v>0</v>
      </c>
      <c r="G30" s="72">
        <f>F30/(1+'Input data'!$E$5/100)^(E30-'Input data'!$E$6)*IF(E30&lt;'Input data'!$E$6,0,1)</f>
        <v>0</v>
      </c>
      <c r="H30" s="78">
        <f>H29+1</f>
        <v>25</v>
      </c>
      <c r="I30" s="52">
        <f>IF(H30&lt;='Input data'!$E$122+'Input data'!$E$45,1,0)*IF('Discount factors'!H30&lt;'Input data'!$E$45+1,0,1)</f>
        <v>1</v>
      </c>
      <c r="J30" s="68">
        <f>I30/(1+'Input data'!$E$5/100)^(H30-'Input data'!$E$6)*IF(H30&lt;'Input data'!$E$6,0,1)</f>
        <v>0.19865574759634863</v>
      </c>
      <c r="K30" s="67">
        <f>K29+1</f>
        <v>25</v>
      </c>
      <c r="L30" s="52">
        <f>IF(K30&lt;='Input data'!$E$7+'Input data'!$E$45,1,0)*IF('Discount factors'!K30&lt;'Input data'!$E$45+1,0,1)</f>
        <v>1</v>
      </c>
      <c r="M30" s="72">
        <f>L30/(1+'Input data'!$D$123/100)^(K30-'Input data'!$E$6)*IF(K30&lt;'Input data'!$E$6,0,1)</f>
        <v>0.43883360211662686</v>
      </c>
      <c r="N30" s="78">
        <f>N29+1</f>
        <v>25</v>
      </c>
      <c r="O30" s="52">
        <f>IF(N30&lt;='Input data'!$E$7+'Input data'!$E$45,1,0)*IF(N30&lt;'Input data'!$E$45+1,0,1)</f>
        <v>1</v>
      </c>
      <c r="P30" s="68">
        <f>O30/(1+'Input data'!$E$123/100)^(N30-'Input data'!$E$6)*IF(N30&lt;'Input data'!$E$6,0,1)</f>
        <v>9.2559611679185971E-2</v>
      </c>
      <c r="Q30" s="67">
        <f>Q29+1</f>
        <v>25</v>
      </c>
      <c r="R30" s="74">
        <f>IF(Q30&lt;='Input data'!$E$7+'Input data'!$E$45,1,0)*IF(Q30&lt;'Input data'!$E$45+1,0,'Input data'!$D$124/'Input data'!$E$11)</f>
        <v>0.73000000000000009</v>
      </c>
      <c r="S30" s="72">
        <f>R30/(1+'Input data'!$E$5/100)^(Q30-'Input data'!$E$6)*IF(Q30&lt;'Input data'!$E$6,0,1)</f>
        <v>0.14501869574533452</v>
      </c>
      <c r="T30" s="78">
        <f>T29+1</f>
        <v>25</v>
      </c>
      <c r="U30" s="74">
        <f>IF(T30&lt;='Input data'!$E$7+'Input data'!$E$45,1,0)*IF(T30&lt;'Input data'!$E$45+1,0,'Input data'!$E$124/'Input data'!$E$11)</f>
        <v>1.0428571428571429</v>
      </c>
      <c r="V30" s="68">
        <f>U30/(1+'Input data'!$E$5/100)^(T30-'Input data'!$E$6)*IF(T30&lt;'Input data'!$E$6,0,1)</f>
        <v>0.20716956535047787</v>
      </c>
    </row>
    <row r="31" spans="2:22" x14ac:dyDescent="0.25">
      <c r="B31" s="67">
        <f t="shared" ref="B31:B58" si="7">B30+1</f>
        <v>26</v>
      </c>
      <c r="C31" s="52">
        <f>IF(B31&lt;='Input data'!$E$7+'Input data'!$E$45,1,0)*IF(B31&lt;'Input data'!$E$45+1,0,1)</f>
        <v>1</v>
      </c>
      <c r="D31" s="68">
        <f>C31/(1+'Input data'!$E$5/100)^(B31-'Input data'!$E$6)*IF(B31&lt;'Input data'!$E$6,0,1)</f>
        <v>0.18394050703365611</v>
      </c>
      <c r="E31" s="67">
        <f t="shared" ref="E31:E58" si="8">E30+1</f>
        <v>26</v>
      </c>
      <c r="F31" s="52">
        <f>IF(E31&lt;='Input data'!$D$122+'Input data'!$E$45,1,0)*IF(E31&lt;'Input data'!$E$45+1,0,1)</f>
        <v>0</v>
      </c>
      <c r="G31" s="72">
        <f>F31/(1+'Input data'!$E$5/100)^(E31-'Input data'!$E$6)*IF(E31&lt;'Input data'!$E$6,0,1)</f>
        <v>0</v>
      </c>
      <c r="H31" s="78">
        <f t="shared" ref="H31:H58" si="9">H30+1</f>
        <v>26</v>
      </c>
      <c r="I31" s="52">
        <f>IF(H31&lt;='Input data'!$E$122+'Input data'!$E$45,1,0)*IF('Discount factors'!H31&lt;'Input data'!$E$45+1,0,1)</f>
        <v>1</v>
      </c>
      <c r="J31" s="68">
        <f>I31/(1+'Input data'!$E$5/100)^(H31-'Input data'!$E$6)*IF(H31&lt;'Input data'!$E$6,0,1)</f>
        <v>0.18394050703365611</v>
      </c>
      <c r="K31" s="67">
        <f t="shared" ref="K31:K58" si="10">K30+1</f>
        <v>26</v>
      </c>
      <c r="L31" s="52">
        <f>IF(K31&lt;='Input data'!$E$7+'Input data'!$E$45,1,0)*IF('Discount factors'!K31&lt;'Input data'!$E$45+1,0,1)</f>
        <v>1</v>
      </c>
      <c r="M31" s="72">
        <f>L31/(1+'Input data'!$D$123/100)^(K31-'Input data'!$E$6)*IF(K31&lt;'Input data'!$E$6,0,1)</f>
        <v>0.42195538665060278</v>
      </c>
      <c r="N31" s="78">
        <f t="shared" ref="N31:N58" si="11">N30+1</f>
        <v>26</v>
      </c>
      <c r="O31" s="52">
        <f>IF(N31&lt;='Input data'!$E$7+'Input data'!$E$45,1,0)*IF(N31&lt;'Input data'!$E$45+1,0,1)</f>
        <v>1</v>
      </c>
      <c r="P31" s="68">
        <f>O31/(1+'Input data'!$E$123/100)^(N31-'Input data'!$E$6)*IF(N31&lt;'Input data'!$E$6,0,1)</f>
        <v>8.2642510427844609E-2</v>
      </c>
      <c r="Q31" s="67">
        <f t="shared" ref="Q31:Q58" si="12">Q30+1</f>
        <v>26</v>
      </c>
      <c r="R31" s="74">
        <f>IF(Q31&lt;='Input data'!$E$7+'Input data'!$E$45,1,0)*IF(Q31&lt;'Input data'!$E$45+1,0,'Input data'!$D$124/'Input data'!$E$11)</f>
        <v>0.73000000000000009</v>
      </c>
      <c r="S31" s="72">
        <f>R31/(1+'Input data'!$E$5/100)^(Q31-'Input data'!$E$6)*IF(Q31&lt;'Input data'!$E$6,0,1)</f>
        <v>0.13427657013456898</v>
      </c>
      <c r="T31" s="78">
        <f t="shared" ref="T31:T58" si="13">T30+1</f>
        <v>26</v>
      </c>
      <c r="U31" s="74">
        <f>IF(T31&lt;='Input data'!$E$7+'Input data'!$E$45,1,0)*IF(T31&lt;'Input data'!$E$45+1,0,'Input data'!$E$124/'Input data'!$E$11)</f>
        <v>1.0428571428571429</v>
      </c>
      <c r="V31" s="68">
        <f>U31/(1+'Input data'!$E$5/100)^(T31-'Input data'!$E$6)*IF(T31&lt;'Input data'!$E$6,0,1)</f>
        <v>0.19182367162081282</v>
      </c>
    </row>
    <row r="32" spans="2:22" x14ac:dyDescent="0.25">
      <c r="B32" s="67">
        <f t="shared" si="7"/>
        <v>27</v>
      </c>
      <c r="C32" s="52">
        <f>IF(B32&lt;='Input data'!$E$7+'Input data'!$E$45,1,0)*IF(B32&lt;'Input data'!$E$45+1,0,1)</f>
        <v>1</v>
      </c>
      <c r="D32" s="68">
        <f>C32/(1+'Input data'!$E$5/100)^(B32-'Input data'!$E$6)*IF(B32&lt;'Input data'!$E$6,0,1)</f>
        <v>0.17031528429042234</v>
      </c>
      <c r="E32" s="67">
        <f t="shared" si="8"/>
        <v>27</v>
      </c>
      <c r="F32" s="52">
        <f>IF(E32&lt;='Input data'!$D$122+'Input data'!$E$45,1,0)*IF(E32&lt;'Input data'!$E$45+1,0,1)</f>
        <v>0</v>
      </c>
      <c r="G32" s="72">
        <f>F32/(1+'Input data'!$E$5/100)^(E32-'Input data'!$E$6)*IF(E32&lt;'Input data'!$E$6,0,1)</f>
        <v>0</v>
      </c>
      <c r="H32" s="78">
        <f t="shared" si="9"/>
        <v>27</v>
      </c>
      <c r="I32" s="52">
        <f>IF(H32&lt;='Input data'!$E$122+'Input data'!$E$45,1,0)*IF('Discount factors'!H32&lt;'Input data'!$E$45+1,0,1)</f>
        <v>1</v>
      </c>
      <c r="J32" s="68">
        <f>I32/(1+'Input data'!$E$5/100)^(H32-'Input data'!$E$6)*IF(H32&lt;'Input data'!$E$6,0,1)</f>
        <v>0.17031528429042234</v>
      </c>
      <c r="K32" s="67">
        <f t="shared" si="10"/>
        <v>27</v>
      </c>
      <c r="L32" s="52">
        <f>IF(K32&lt;='Input data'!$E$7+'Input data'!$E$45,1,0)*IF('Discount factors'!K32&lt;'Input data'!$E$45+1,0,1)</f>
        <v>1</v>
      </c>
      <c r="M32" s="72">
        <f>L32/(1+'Input data'!$D$123/100)^(K32-'Input data'!$E$6)*IF(K32&lt;'Input data'!$E$6,0,1)</f>
        <v>0.40572633331788732</v>
      </c>
      <c r="N32" s="78">
        <f t="shared" si="11"/>
        <v>27</v>
      </c>
      <c r="O32" s="52">
        <f>IF(N32&lt;='Input data'!$E$7+'Input data'!$E$45,1,0)*IF(N32&lt;'Input data'!$E$45+1,0,1)</f>
        <v>1</v>
      </c>
      <c r="P32" s="68">
        <f>O32/(1+'Input data'!$E$123/100)^(N32-'Input data'!$E$6)*IF(N32&lt;'Input data'!$E$6,0,1)</f>
        <v>7.3787955739146982E-2</v>
      </c>
      <c r="Q32" s="67">
        <f t="shared" si="12"/>
        <v>27</v>
      </c>
      <c r="R32" s="74">
        <f>IF(Q32&lt;='Input data'!$E$7+'Input data'!$E$45,1,0)*IF(Q32&lt;'Input data'!$E$45+1,0,'Input data'!$D$124/'Input data'!$E$11)</f>
        <v>0.73000000000000009</v>
      </c>
      <c r="S32" s="72">
        <f>R32/(1+'Input data'!$E$5/100)^(Q32-'Input data'!$E$6)*IF(Q32&lt;'Input data'!$E$6,0,1)</f>
        <v>0.12433015753200832</v>
      </c>
      <c r="T32" s="78">
        <f t="shared" si="13"/>
        <v>27</v>
      </c>
      <c r="U32" s="74">
        <f>IF(T32&lt;='Input data'!$E$7+'Input data'!$E$45,1,0)*IF(T32&lt;'Input data'!$E$45+1,0,'Input data'!$E$124/'Input data'!$E$11)</f>
        <v>1.0428571428571429</v>
      </c>
      <c r="V32" s="68">
        <f>U32/(1+'Input data'!$E$5/100)^(T32-'Input data'!$E$6)*IF(T32&lt;'Input data'!$E$6,0,1)</f>
        <v>0.17761451076001186</v>
      </c>
    </row>
    <row r="33" spans="2:22" x14ac:dyDescent="0.25">
      <c r="B33" s="67">
        <f t="shared" si="7"/>
        <v>28</v>
      </c>
      <c r="C33" s="52">
        <f>IF(B33&lt;='Input data'!$E$7+'Input data'!$E$45,1,0)*IF(B33&lt;'Input data'!$E$45+1,0,1)</f>
        <v>1</v>
      </c>
      <c r="D33" s="68">
        <f>C33/(1+'Input data'!$E$5/100)^(B33-'Input data'!$E$6)*IF(B33&lt;'Input data'!$E$6,0,1)</f>
        <v>0.1576993373059466</v>
      </c>
      <c r="E33" s="67">
        <f t="shared" si="8"/>
        <v>28</v>
      </c>
      <c r="F33" s="52">
        <f>IF(E33&lt;='Input data'!$D$122+'Input data'!$E$45,1,0)*IF(E33&lt;'Input data'!$E$45+1,0,1)</f>
        <v>0</v>
      </c>
      <c r="G33" s="72">
        <f>F33/(1+'Input data'!$E$5/100)^(E33-'Input data'!$E$6)*IF(E33&lt;'Input data'!$E$6,0,1)</f>
        <v>0</v>
      </c>
      <c r="H33" s="78">
        <f t="shared" si="9"/>
        <v>28</v>
      </c>
      <c r="I33" s="52">
        <f>IF(H33&lt;='Input data'!$E$122+'Input data'!$E$45,1,0)*IF('Discount factors'!H33&lt;'Input data'!$E$45+1,0,1)</f>
        <v>1</v>
      </c>
      <c r="J33" s="68">
        <f>I33/(1+'Input data'!$E$5/100)^(H33-'Input data'!$E$6)*IF(H33&lt;'Input data'!$E$6,0,1)</f>
        <v>0.1576993373059466</v>
      </c>
      <c r="K33" s="67">
        <f t="shared" si="10"/>
        <v>28</v>
      </c>
      <c r="L33" s="52">
        <f>IF(K33&lt;='Input data'!$E$7+'Input data'!$E$45,1,0)*IF('Discount factors'!K33&lt;'Input data'!$E$45+1,0,1)</f>
        <v>1</v>
      </c>
      <c r="M33" s="72">
        <f>L33/(1+'Input data'!$D$123/100)^(K33-'Input data'!$E$6)*IF(K33&lt;'Input data'!$E$6,0,1)</f>
        <v>0.39012147434412242</v>
      </c>
      <c r="N33" s="78">
        <f t="shared" si="11"/>
        <v>28</v>
      </c>
      <c r="O33" s="52">
        <f>IF(N33&lt;='Input data'!$E$7+'Input data'!$E$45,1,0)*IF(N33&lt;'Input data'!$E$45+1,0,1)</f>
        <v>1</v>
      </c>
      <c r="P33" s="68">
        <f>O33/(1+'Input data'!$E$123/100)^(N33-'Input data'!$E$6)*IF(N33&lt;'Input data'!$E$6,0,1)</f>
        <v>6.5882103338524081E-2</v>
      </c>
      <c r="Q33" s="67">
        <f t="shared" si="12"/>
        <v>28</v>
      </c>
      <c r="R33" s="74">
        <f>IF(Q33&lt;='Input data'!$E$7+'Input data'!$E$45,1,0)*IF(Q33&lt;'Input data'!$E$45+1,0,'Input data'!$D$124/'Input data'!$E$11)</f>
        <v>0.73000000000000009</v>
      </c>
      <c r="S33" s="72">
        <f>R33/(1+'Input data'!$E$5/100)^(Q33-'Input data'!$E$6)*IF(Q33&lt;'Input data'!$E$6,0,1)</f>
        <v>0.11512051623334103</v>
      </c>
      <c r="T33" s="78">
        <f t="shared" si="13"/>
        <v>28</v>
      </c>
      <c r="U33" s="74">
        <f>IF(T33&lt;='Input data'!$E$7+'Input data'!$E$45,1,0)*IF(T33&lt;'Input data'!$E$45+1,0,'Input data'!$E$124/'Input data'!$E$11)</f>
        <v>1.0428571428571429</v>
      </c>
      <c r="V33" s="68">
        <f>U33/(1+'Input data'!$E$5/100)^(T33-'Input data'!$E$6)*IF(T33&lt;'Input data'!$E$6,0,1)</f>
        <v>0.16445788033334433</v>
      </c>
    </row>
    <row r="34" spans="2:22" x14ac:dyDescent="0.25">
      <c r="B34" s="67">
        <f t="shared" si="7"/>
        <v>29</v>
      </c>
      <c r="C34" s="52">
        <f>IF(B34&lt;='Input data'!$E$7+'Input data'!$E$45,1,0)*IF(B34&lt;'Input data'!$E$45+1,0,1)</f>
        <v>0</v>
      </c>
      <c r="D34" s="68">
        <f>C34/(1+'Input data'!$E$5/100)^(B34-'Input data'!$E$6)*IF(B34&lt;'Input data'!$E$6,0,1)</f>
        <v>0</v>
      </c>
      <c r="E34" s="67">
        <f t="shared" si="8"/>
        <v>29</v>
      </c>
      <c r="F34" s="52">
        <f>IF(E34&lt;='Input data'!$D$122+'Input data'!$E$45,1,0)*IF(E34&lt;'Input data'!$E$45+1,0,1)</f>
        <v>0</v>
      </c>
      <c r="G34" s="72">
        <f>F34/(1+'Input data'!$E$5/100)^(E34-'Input data'!$E$6)*IF(E34&lt;'Input data'!$E$6,0,1)</f>
        <v>0</v>
      </c>
      <c r="H34" s="78">
        <f t="shared" si="9"/>
        <v>29</v>
      </c>
      <c r="I34" s="52">
        <f>IF(H34&lt;='Input data'!$E$122+'Input data'!$E$45,1,0)*IF('Discount factors'!H34&lt;'Input data'!$E$45+1,0,1)</f>
        <v>1</v>
      </c>
      <c r="J34" s="68">
        <f>I34/(1+'Input data'!$E$5/100)^(H34-'Input data'!$E$6)*IF(H34&lt;'Input data'!$E$6,0,1)</f>
        <v>0.1460179049129135</v>
      </c>
      <c r="K34" s="67">
        <f t="shared" si="10"/>
        <v>29</v>
      </c>
      <c r="L34" s="52">
        <f>IF(K34&lt;='Input data'!$E$7+'Input data'!$E$45,1,0)*IF('Discount factors'!K34&lt;'Input data'!$E$45+1,0,1)</f>
        <v>0</v>
      </c>
      <c r="M34" s="72">
        <f>L34/(1+'Input data'!$D$123/100)^(K34-'Input data'!$E$6)*IF(K34&lt;'Input data'!$E$6,0,1)</f>
        <v>0</v>
      </c>
      <c r="N34" s="78">
        <f t="shared" si="11"/>
        <v>29</v>
      </c>
      <c r="O34" s="52">
        <f>IF(N34&lt;='Input data'!$E$7+'Input data'!$E$45,1,0)*IF(N34&lt;'Input data'!$E$45+1,0,1)</f>
        <v>0</v>
      </c>
      <c r="P34" s="68">
        <f>O34/(1+'Input data'!$E$123/100)^(N34-'Input data'!$E$6)*IF(N34&lt;'Input data'!$E$6,0,1)</f>
        <v>0</v>
      </c>
      <c r="Q34" s="67">
        <f t="shared" si="12"/>
        <v>29</v>
      </c>
      <c r="R34" s="74">
        <f>IF(Q34&lt;='Input data'!$E$7+'Input data'!$E$45,1,0)*IF(Q34&lt;'Input data'!$E$45+1,0,'Input data'!$D$124/'Input data'!$E$11)</f>
        <v>0</v>
      </c>
      <c r="S34" s="72">
        <f>R34/(1+'Input data'!$E$5/100)^(Q34-'Input data'!$E$6)*IF(Q34&lt;'Input data'!$E$6,0,1)</f>
        <v>0</v>
      </c>
      <c r="T34" s="78">
        <f t="shared" si="13"/>
        <v>29</v>
      </c>
      <c r="U34" s="74">
        <f>IF(T34&lt;='Input data'!$E$7+'Input data'!$E$45,1,0)*IF(T34&lt;'Input data'!$E$45+1,0,'Input data'!$E$124/'Input data'!$E$11)</f>
        <v>0</v>
      </c>
      <c r="V34" s="68">
        <f>U34/(1+'Input data'!$E$5/100)^(T34-'Input data'!$E$6)*IF(T34&lt;'Input data'!$E$6,0,1)</f>
        <v>0</v>
      </c>
    </row>
    <row r="35" spans="2:22" x14ac:dyDescent="0.25">
      <c r="B35" s="67">
        <f t="shared" si="7"/>
        <v>30</v>
      </c>
      <c r="C35" s="52">
        <f>IF(B35&lt;='Input data'!$E$7+'Input data'!$E$45,1,0)*IF(B35&lt;'Input data'!$E$45+1,0,1)</f>
        <v>0</v>
      </c>
      <c r="D35" s="68">
        <f>C35/(1+'Input data'!$E$5/100)^(B35-'Input data'!$E$6)*IF(B35&lt;'Input data'!$E$6,0,1)</f>
        <v>0</v>
      </c>
      <c r="E35" s="67">
        <f t="shared" si="8"/>
        <v>30</v>
      </c>
      <c r="F35" s="52">
        <f>IF(E35&lt;='Input data'!$D$122+'Input data'!$E$45,1,0)*IF(E35&lt;'Input data'!$E$45+1,0,1)</f>
        <v>0</v>
      </c>
      <c r="G35" s="72">
        <f>F35/(1+'Input data'!$E$5/100)^(E35-'Input data'!$E$6)*IF(E35&lt;'Input data'!$E$6,0,1)</f>
        <v>0</v>
      </c>
      <c r="H35" s="78">
        <f t="shared" si="9"/>
        <v>30</v>
      </c>
      <c r="I35" s="52">
        <f>IF(H35&lt;='Input data'!$E$122+'Input data'!$E$45,1,0)*IF('Discount factors'!H35&lt;'Input data'!$E$45+1,0,1)</f>
        <v>1</v>
      </c>
      <c r="J35" s="68">
        <f>I35/(1+'Input data'!$E$5/100)^(H35-'Input data'!$E$6)*IF(H35&lt;'Input data'!$E$6,0,1)</f>
        <v>0.13520176380825324</v>
      </c>
      <c r="K35" s="67">
        <f t="shared" si="10"/>
        <v>30</v>
      </c>
      <c r="L35" s="52">
        <f>IF(K35&lt;='Input data'!$E$7+'Input data'!$E$45,1,0)*IF('Discount factors'!K35&lt;'Input data'!$E$45+1,0,1)</f>
        <v>0</v>
      </c>
      <c r="M35" s="72">
        <f>L35/(1+'Input data'!$D$123/100)^(K35-'Input data'!$E$6)*IF(K35&lt;'Input data'!$E$6,0,1)</f>
        <v>0</v>
      </c>
      <c r="N35" s="78">
        <f t="shared" si="11"/>
        <v>30</v>
      </c>
      <c r="O35" s="52">
        <f>IF(N35&lt;='Input data'!$E$7+'Input data'!$E$45,1,0)*IF(N35&lt;'Input data'!$E$45+1,0,1)</f>
        <v>0</v>
      </c>
      <c r="P35" s="68">
        <f>O35/(1+'Input data'!$E$123/100)^(N35-'Input data'!$E$6)*IF(N35&lt;'Input data'!$E$6,0,1)</f>
        <v>0</v>
      </c>
      <c r="Q35" s="67">
        <f t="shared" si="12"/>
        <v>30</v>
      </c>
      <c r="R35" s="74">
        <f>IF(Q35&lt;='Input data'!$E$7+'Input data'!$E$45,1,0)*IF(Q35&lt;'Input data'!$E$45+1,0,'Input data'!$D$124/'Input data'!$E$11)</f>
        <v>0</v>
      </c>
      <c r="S35" s="72">
        <f>R35/(1+'Input data'!$E$5/100)^(Q35-'Input data'!$E$6)*IF(Q35&lt;'Input data'!$E$6,0,1)</f>
        <v>0</v>
      </c>
      <c r="T35" s="78">
        <f t="shared" si="13"/>
        <v>30</v>
      </c>
      <c r="U35" s="74">
        <f>IF(T35&lt;='Input data'!$E$7+'Input data'!$E$45,1,0)*IF(T35&lt;'Input data'!$E$45+1,0,'Input data'!$E$124/'Input data'!$E$11)</f>
        <v>0</v>
      </c>
      <c r="V35" s="68">
        <f>U35/(1+'Input data'!$E$5/100)^(T35-'Input data'!$E$6)*IF(T35&lt;'Input data'!$E$6,0,1)</f>
        <v>0</v>
      </c>
    </row>
    <row r="36" spans="2:22" x14ac:dyDescent="0.25">
      <c r="B36" s="67">
        <f t="shared" si="7"/>
        <v>31</v>
      </c>
      <c r="C36" s="52">
        <f>IF(B36&lt;='Input data'!$E$7+'Input data'!$E$45,1,0)*IF(B36&lt;'Input data'!$E$45+1,0,1)</f>
        <v>0</v>
      </c>
      <c r="D36" s="68">
        <f>C36/(1+'Input data'!$E$5/100)^(B36-'Input data'!$E$6)*IF(B36&lt;'Input data'!$E$6,0,1)</f>
        <v>0</v>
      </c>
      <c r="E36" s="67">
        <f t="shared" si="8"/>
        <v>31</v>
      </c>
      <c r="F36" s="52">
        <f>IF(E36&lt;='Input data'!$D$122+'Input data'!$E$45,1,0)*IF(E36&lt;'Input data'!$E$45+1,0,1)</f>
        <v>0</v>
      </c>
      <c r="G36" s="72">
        <f>F36/(1+'Input data'!$E$5/100)^(E36-'Input data'!$E$6)*IF(E36&lt;'Input data'!$E$6,0,1)</f>
        <v>0</v>
      </c>
      <c r="H36" s="78">
        <f t="shared" si="9"/>
        <v>31</v>
      </c>
      <c r="I36" s="52">
        <f>IF(H36&lt;='Input data'!$E$122+'Input data'!$E$45,1,0)*IF('Discount factors'!H36&lt;'Input data'!$E$45+1,0,1)</f>
        <v>1</v>
      </c>
      <c r="J36" s="68">
        <f>I36/(1+'Input data'!$E$5/100)^(H36-'Input data'!$E$6)*IF(H36&lt;'Input data'!$E$6,0,1)</f>
        <v>0.12518681834097523</v>
      </c>
      <c r="K36" s="67">
        <f t="shared" si="10"/>
        <v>31</v>
      </c>
      <c r="L36" s="52">
        <f>IF(K36&lt;='Input data'!$E$7+'Input data'!$E$45,1,0)*IF('Discount factors'!K36&lt;'Input data'!$E$45+1,0,1)</f>
        <v>0</v>
      </c>
      <c r="M36" s="72">
        <f>L36/(1+'Input data'!$D$123/100)^(K36-'Input data'!$E$6)*IF(K36&lt;'Input data'!$E$6,0,1)</f>
        <v>0</v>
      </c>
      <c r="N36" s="78">
        <f t="shared" si="11"/>
        <v>31</v>
      </c>
      <c r="O36" s="52">
        <f>IF(N36&lt;='Input data'!$E$7+'Input data'!$E$45,1,0)*IF(N36&lt;'Input data'!$E$45+1,0,1)</f>
        <v>0</v>
      </c>
      <c r="P36" s="68">
        <f>O36/(1+'Input data'!$E$123/100)^(N36-'Input data'!$E$6)*IF(N36&lt;'Input data'!$E$6,0,1)</f>
        <v>0</v>
      </c>
      <c r="Q36" s="67">
        <f t="shared" si="12"/>
        <v>31</v>
      </c>
      <c r="R36" s="74">
        <f>IF(Q36&lt;='Input data'!$E$7+'Input data'!$E$45,1,0)*IF(Q36&lt;'Input data'!$E$45+1,0,'Input data'!$D$124/'Input data'!$E$11)</f>
        <v>0</v>
      </c>
      <c r="S36" s="72">
        <f>R36/(1+'Input data'!$E$5/100)^(Q36-'Input data'!$E$6)*IF(Q36&lt;'Input data'!$E$6,0,1)</f>
        <v>0</v>
      </c>
      <c r="T36" s="78">
        <f t="shared" si="13"/>
        <v>31</v>
      </c>
      <c r="U36" s="74">
        <f>IF(T36&lt;='Input data'!$E$7+'Input data'!$E$45,1,0)*IF(T36&lt;'Input data'!$E$45+1,0,'Input data'!$E$124/'Input data'!$E$11)</f>
        <v>0</v>
      </c>
      <c r="V36" s="68">
        <f>U36/(1+'Input data'!$E$5/100)^(T36-'Input data'!$E$6)*IF(T36&lt;'Input data'!$E$6,0,1)</f>
        <v>0</v>
      </c>
    </row>
    <row r="37" spans="2:22" x14ac:dyDescent="0.25">
      <c r="B37" s="67">
        <f t="shared" si="7"/>
        <v>32</v>
      </c>
      <c r="C37" s="52">
        <f>IF(B37&lt;='Input data'!$E$7+'Input data'!$E$45,1,0)*IF(B37&lt;'Input data'!$E$45+1,0,1)</f>
        <v>0</v>
      </c>
      <c r="D37" s="68">
        <f>C37/(1+'Input data'!$E$5/100)^(B37-'Input data'!$E$6)*IF(B37&lt;'Input data'!$E$6,0,1)</f>
        <v>0</v>
      </c>
      <c r="E37" s="67">
        <f t="shared" si="8"/>
        <v>32</v>
      </c>
      <c r="F37" s="52">
        <f>IF(E37&lt;='Input data'!$D$122+'Input data'!$E$45,1,0)*IF(E37&lt;'Input data'!$E$45+1,0,1)</f>
        <v>0</v>
      </c>
      <c r="G37" s="72">
        <f>F37/(1+'Input data'!$E$5/100)^(E37-'Input data'!$E$6)*IF(E37&lt;'Input data'!$E$6,0,1)</f>
        <v>0</v>
      </c>
      <c r="H37" s="78">
        <f t="shared" si="9"/>
        <v>32</v>
      </c>
      <c r="I37" s="52">
        <f>IF(H37&lt;='Input data'!$E$122+'Input data'!$E$45,1,0)*IF('Discount factors'!H37&lt;'Input data'!$E$45+1,0,1)</f>
        <v>1</v>
      </c>
      <c r="J37" s="68">
        <f>I37/(1+'Input data'!$E$5/100)^(H37-'Input data'!$E$6)*IF(H37&lt;'Input data'!$E$6,0,1)</f>
        <v>0.11591372068608817</v>
      </c>
      <c r="K37" s="67">
        <f t="shared" si="10"/>
        <v>32</v>
      </c>
      <c r="L37" s="52">
        <f>IF(K37&lt;='Input data'!$E$7+'Input data'!$E$45,1,0)*IF('Discount factors'!K37&lt;'Input data'!$E$45+1,0,1)</f>
        <v>0</v>
      </c>
      <c r="M37" s="72">
        <f>L37/(1+'Input data'!$D$123/100)^(K37-'Input data'!$E$6)*IF(K37&lt;'Input data'!$E$6,0,1)</f>
        <v>0</v>
      </c>
      <c r="N37" s="78">
        <f t="shared" si="11"/>
        <v>32</v>
      </c>
      <c r="O37" s="52">
        <f>IF(N37&lt;='Input data'!$E$7+'Input data'!$E$45,1,0)*IF(N37&lt;'Input data'!$E$45+1,0,1)</f>
        <v>0</v>
      </c>
      <c r="P37" s="68">
        <f>O37/(1+'Input data'!$E$123/100)^(N37-'Input data'!$E$6)*IF(N37&lt;'Input data'!$E$6,0,1)</f>
        <v>0</v>
      </c>
      <c r="Q37" s="67">
        <f t="shared" si="12"/>
        <v>32</v>
      </c>
      <c r="R37" s="74">
        <f>IF(Q37&lt;='Input data'!$E$7+'Input data'!$E$45,1,0)*IF(Q37&lt;'Input data'!$E$45+1,0,'Input data'!$D$124/'Input data'!$E$11)</f>
        <v>0</v>
      </c>
      <c r="S37" s="72">
        <f>R37/(1+'Input data'!$E$5/100)^(Q37-'Input data'!$E$6)*IF(Q37&lt;'Input data'!$E$6,0,1)</f>
        <v>0</v>
      </c>
      <c r="T37" s="78">
        <f t="shared" si="13"/>
        <v>32</v>
      </c>
      <c r="U37" s="74">
        <f>IF(T37&lt;='Input data'!$E$7+'Input data'!$E$45,1,0)*IF(T37&lt;'Input data'!$E$45+1,0,'Input data'!$E$124/'Input data'!$E$11)</f>
        <v>0</v>
      </c>
      <c r="V37" s="68">
        <f>U37/(1+'Input data'!$E$5/100)^(T37-'Input data'!$E$6)*IF(T37&lt;'Input data'!$E$6,0,1)</f>
        <v>0</v>
      </c>
    </row>
    <row r="38" spans="2:22" x14ac:dyDescent="0.25">
      <c r="B38" s="67">
        <f t="shared" si="7"/>
        <v>33</v>
      </c>
      <c r="C38" s="52">
        <f>IF(B38&lt;='Input data'!$E$7+'Input data'!$E$45,1,0)*IF(B38&lt;'Input data'!$E$45+1,0,1)</f>
        <v>0</v>
      </c>
      <c r="D38" s="68">
        <f>C38/(1+'Input data'!$E$5/100)^(B38-'Input data'!$E$6)*IF(B38&lt;'Input data'!$E$6,0,1)</f>
        <v>0</v>
      </c>
      <c r="E38" s="67">
        <f t="shared" si="8"/>
        <v>33</v>
      </c>
      <c r="F38" s="52">
        <f>IF(E38&lt;='Input data'!$D$122+'Input data'!$E$45,1,0)*IF(E38&lt;'Input data'!$E$45+1,0,1)</f>
        <v>0</v>
      </c>
      <c r="G38" s="72">
        <f>F38/(1+'Input data'!$E$5/100)^(E38-'Input data'!$E$6)*IF(E38&lt;'Input data'!$E$6,0,1)</f>
        <v>0</v>
      </c>
      <c r="H38" s="78">
        <f t="shared" si="9"/>
        <v>33</v>
      </c>
      <c r="I38" s="52">
        <f>IF(H38&lt;='Input data'!$E$122+'Input data'!$E$45,1,0)*IF('Discount factors'!H38&lt;'Input data'!$E$45+1,0,1)</f>
        <v>1</v>
      </c>
      <c r="J38" s="68">
        <f>I38/(1+'Input data'!$E$5/100)^(H38-'Input data'!$E$6)*IF(H38&lt;'Input data'!$E$6,0,1)</f>
        <v>0.10732751915378534</v>
      </c>
      <c r="K38" s="67">
        <f t="shared" si="10"/>
        <v>33</v>
      </c>
      <c r="L38" s="52">
        <f>IF(K38&lt;='Input data'!$E$7+'Input data'!$E$45,1,0)*IF('Discount factors'!K38&lt;'Input data'!$E$45+1,0,1)</f>
        <v>0</v>
      </c>
      <c r="M38" s="72">
        <f>L38/(1+'Input data'!$D$123/100)^(K38-'Input data'!$E$6)*IF(K38&lt;'Input data'!$E$6,0,1)</f>
        <v>0</v>
      </c>
      <c r="N38" s="78">
        <f t="shared" si="11"/>
        <v>33</v>
      </c>
      <c r="O38" s="52">
        <f>IF(N38&lt;='Input data'!$E$7+'Input data'!$E$45,1,0)*IF(N38&lt;'Input data'!$E$45+1,0,1)</f>
        <v>0</v>
      </c>
      <c r="P38" s="68">
        <f>O38/(1+'Input data'!$E$123/100)^(N38-'Input data'!$E$6)*IF(N38&lt;'Input data'!$E$6,0,1)</f>
        <v>0</v>
      </c>
      <c r="Q38" s="67">
        <f t="shared" si="12"/>
        <v>33</v>
      </c>
      <c r="R38" s="74">
        <f>IF(Q38&lt;='Input data'!$E$7+'Input data'!$E$45,1,0)*IF(Q38&lt;'Input data'!$E$45+1,0,'Input data'!$D$124/'Input data'!$E$11)</f>
        <v>0</v>
      </c>
      <c r="S38" s="72">
        <f>R38/(1+'Input data'!$E$5/100)^(Q38-'Input data'!$E$6)*IF(Q38&lt;'Input data'!$E$6,0,1)</f>
        <v>0</v>
      </c>
      <c r="T38" s="78">
        <f t="shared" si="13"/>
        <v>33</v>
      </c>
      <c r="U38" s="74">
        <f>IF(T38&lt;='Input data'!$E$7+'Input data'!$E$45,1,0)*IF(T38&lt;'Input data'!$E$45+1,0,'Input data'!$E$124/'Input data'!$E$11)</f>
        <v>0</v>
      </c>
      <c r="V38" s="68">
        <f>U38/(1+'Input data'!$E$5/100)^(T38-'Input data'!$E$6)*IF(T38&lt;'Input data'!$E$6,0,1)</f>
        <v>0</v>
      </c>
    </row>
    <row r="39" spans="2:22" x14ac:dyDescent="0.25">
      <c r="B39" s="67">
        <f t="shared" si="7"/>
        <v>34</v>
      </c>
      <c r="C39" s="52">
        <f>IF(B39&lt;='Input data'!$E$7+'Input data'!$E$45,1,0)*IF(B39&lt;'Input data'!$E$45+1,0,1)</f>
        <v>0</v>
      </c>
      <c r="D39" s="68">
        <f>C39/(1+'Input data'!$E$5/100)^(B39-'Input data'!$E$6)*IF(B39&lt;'Input data'!$E$6,0,1)</f>
        <v>0</v>
      </c>
      <c r="E39" s="67">
        <f t="shared" si="8"/>
        <v>34</v>
      </c>
      <c r="F39" s="52">
        <f>IF(E39&lt;='Input data'!$D$122+'Input data'!$E$45,1,0)*IF(E39&lt;'Input data'!$E$45+1,0,1)</f>
        <v>0</v>
      </c>
      <c r="G39" s="72">
        <f>F39/(1+'Input data'!$E$5/100)^(E39-'Input data'!$E$6)*IF(E39&lt;'Input data'!$E$6,0,1)</f>
        <v>0</v>
      </c>
      <c r="H39" s="78">
        <f t="shared" si="9"/>
        <v>34</v>
      </c>
      <c r="I39" s="52">
        <f>IF(H39&lt;='Input data'!$E$122+'Input data'!$E$45,1,0)*IF('Discount factors'!H39&lt;'Input data'!$E$45+1,0,1)</f>
        <v>1</v>
      </c>
      <c r="J39" s="68">
        <f>I39/(1+'Input data'!$E$5/100)^(H39-'Input data'!$E$6)*IF(H39&lt;'Input data'!$E$6,0,1)</f>
        <v>9.9377332549801231E-2</v>
      </c>
      <c r="K39" s="67">
        <f t="shared" si="10"/>
        <v>34</v>
      </c>
      <c r="L39" s="52">
        <f>IF(K39&lt;='Input data'!$E$7+'Input data'!$E$45,1,0)*IF('Discount factors'!K39&lt;'Input data'!$E$45+1,0,1)</f>
        <v>0</v>
      </c>
      <c r="M39" s="72">
        <f>L39/(1+'Input data'!$D$123/100)^(K39-'Input data'!$E$6)*IF(K39&lt;'Input data'!$E$6,0,1)</f>
        <v>0</v>
      </c>
      <c r="N39" s="78">
        <f t="shared" si="11"/>
        <v>34</v>
      </c>
      <c r="O39" s="52">
        <f>IF(N39&lt;='Input data'!$E$7+'Input data'!$E$45,1,0)*IF(N39&lt;'Input data'!$E$45+1,0,1)</f>
        <v>0</v>
      </c>
      <c r="P39" s="68">
        <f>O39/(1+'Input data'!$E$123/100)^(N39-'Input data'!$E$6)*IF(N39&lt;'Input data'!$E$6,0,1)</f>
        <v>0</v>
      </c>
      <c r="Q39" s="67">
        <f t="shared" si="12"/>
        <v>34</v>
      </c>
      <c r="R39" s="74">
        <f>IF(Q39&lt;='Input data'!$E$7+'Input data'!$E$45,1,0)*IF(Q39&lt;'Input data'!$E$45+1,0,'Input data'!$D$124/'Input data'!$E$11)</f>
        <v>0</v>
      </c>
      <c r="S39" s="72">
        <f>R39/(1+'Input data'!$E$5/100)^(Q39-'Input data'!$E$6)*IF(Q39&lt;'Input data'!$E$6,0,1)</f>
        <v>0</v>
      </c>
      <c r="T39" s="78">
        <f t="shared" si="13"/>
        <v>34</v>
      </c>
      <c r="U39" s="74">
        <f>IF(T39&lt;='Input data'!$E$7+'Input data'!$E$45,1,0)*IF(T39&lt;'Input data'!$E$45+1,0,'Input data'!$E$124/'Input data'!$E$11)</f>
        <v>0</v>
      </c>
      <c r="V39" s="68">
        <f>U39/(1+'Input data'!$E$5/100)^(T39-'Input data'!$E$6)*IF(T39&lt;'Input data'!$E$6,0,1)</f>
        <v>0</v>
      </c>
    </row>
    <row r="40" spans="2:22" x14ac:dyDescent="0.25">
      <c r="B40" s="67">
        <f t="shared" si="7"/>
        <v>35</v>
      </c>
      <c r="C40" s="52">
        <f>IF(B40&lt;='Input data'!$E$7+'Input data'!$E$45,1,0)*IF(B40&lt;'Input data'!$E$45+1,0,1)</f>
        <v>0</v>
      </c>
      <c r="D40" s="68">
        <f>C40/(1+'Input data'!$E$5/100)^(B40-'Input data'!$E$6)*IF(B40&lt;'Input data'!$E$6,0,1)</f>
        <v>0</v>
      </c>
      <c r="E40" s="67">
        <f t="shared" si="8"/>
        <v>35</v>
      </c>
      <c r="F40" s="52">
        <f>IF(E40&lt;='Input data'!$D$122+'Input data'!$E$45,1,0)*IF(E40&lt;'Input data'!$E$45+1,0,1)</f>
        <v>0</v>
      </c>
      <c r="G40" s="72">
        <f>F40/(1+'Input data'!$E$5/100)^(E40-'Input data'!$E$6)*IF(E40&lt;'Input data'!$E$6,0,1)</f>
        <v>0</v>
      </c>
      <c r="H40" s="78">
        <f t="shared" si="9"/>
        <v>35</v>
      </c>
      <c r="I40" s="52">
        <f>IF(H40&lt;='Input data'!$E$122+'Input data'!$E$45,1,0)*IF('Discount factors'!H40&lt;'Input data'!$E$45+1,0,1)</f>
        <v>1</v>
      </c>
      <c r="J40" s="68">
        <f>I40/(1+'Input data'!$E$5/100)^(H40-'Input data'!$E$6)*IF(H40&lt;'Input data'!$E$6,0,1)</f>
        <v>9.2016048657223348E-2</v>
      </c>
      <c r="K40" s="67">
        <f t="shared" si="10"/>
        <v>35</v>
      </c>
      <c r="L40" s="52">
        <f>IF(K40&lt;='Input data'!$E$7+'Input data'!$E$45,1,0)*IF('Discount factors'!K40&lt;'Input data'!$E$45+1,0,1)</f>
        <v>0</v>
      </c>
      <c r="M40" s="72">
        <f>L40/(1+'Input data'!$D$123/100)^(K40-'Input data'!$E$6)*IF(K40&lt;'Input data'!$E$6,0,1)</f>
        <v>0</v>
      </c>
      <c r="N40" s="78">
        <f t="shared" si="11"/>
        <v>35</v>
      </c>
      <c r="O40" s="52">
        <f>IF(N40&lt;='Input data'!$E$7+'Input data'!$E$45,1,0)*IF(N40&lt;'Input data'!$E$45+1,0,1)</f>
        <v>0</v>
      </c>
      <c r="P40" s="68">
        <f>O40/(1+'Input data'!$E$123/100)^(N40-'Input data'!$E$6)*IF(N40&lt;'Input data'!$E$6,0,1)</f>
        <v>0</v>
      </c>
      <c r="Q40" s="67">
        <f t="shared" si="12"/>
        <v>35</v>
      </c>
      <c r="R40" s="74">
        <f>IF(Q40&lt;='Input data'!$E$7+'Input data'!$E$45,1,0)*IF(Q40&lt;'Input data'!$E$45+1,0,'Input data'!$D$124/'Input data'!$E$11)</f>
        <v>0</v>
      </c>
      <c r="S40" s="72">
        <f>R40/(1+'Input data'!$E$5/100)^(Q40-'Input data'!$E$6)*IF(Q40&lt;'Input data'!$E$6,0,1)</f>
        <v>0</v>
      </c>
      <c r="T40" s="78">
        <f t="shared" si="13"/>
        <v>35</v>
      </c>
      <c r="U40" s="74">
        <f>IF(T40&lt;='Input data'!$E$7+'Input data'!$E$45,1,0)*IF(T40&lt;'Input data'!$E$45+1,0,'Input data'!$E$124/'Input data'!$E$11)</f>
        <v>0</v>
      </c>
      <c r="V40" s="68">
        <f>U40/(1+'Input data'!$E$5/100)^(T40-'Input data'!$E$6)*IF(T40&lt;'Input data'!$E$6,0,1)</f>
        <v>0</v>
      </c>
    </row>
    <row r="41" spans="2:22" x14ac:dyDescent="0.25">
      <c r="B41" s="67">
        <f t="shared" si="7"/>
        <v>36</v>
      </c>
      <c r="C41" s="52">
        <f>IF(B41&lt;='Input data'!$E$7+'Input data'!$E$45,1,0)*IF(B41&lt;'Input data'!$E$45+1,0,1)</f>
        <v>0</v>
      </c>
      <c r="D41" s="68">
        <f>C41/(1+'Input data'!$E$5/100)^(B41-'Input data'!$E$6)*IF(B41&lt;'Input data'!$E$6,0,1)</f>
        <v>0</v>
      </c>
      <c r="E41" s="67">
        <f t="shared" si="8"/>
        <v>36</v>
      </c>
      <c r="F41" s="52">
        <f>IF(E41&lt;='Input data'!$D$122+'Input data'!$E$45,1,0)*IF(E41&lt;'Input data'!$E$45+1,0,1)</f>
        <v>0</v>
      </c>
      <c r="G41" s="72">
        <f>F41/(1+'Input data'!$E$5/100)^(E41-'Input data'!$E$6)*IF(E41&lt;'Input data'!$E$6,0,1)</f>
        <v>0</v>
      </c>
      <c r="H41" s="78">
        <f t="shared" si="9"/>
        <v>36</v>
      </c>
      <c r="I41" s="52">
        <f>IF(H41&lt;='Input data'!$E$122+'Input data'!$E$45,1,0)*IF('Discount factors'!H41&lt;'Input data'!$E$45+1,0,1)</f>
        <v>1</v>
      </c>
      <c r="J41" s="68">
        <f>I41/(1+'Input data'!$E$5/100)^(H41-'Input data'!$E$6)*IF(H41&lt;'Input data'!$E$6,0,1)</f>
        <v>8.5200045052984577E-2</v>
      </c>
      <c r="K41" s="67">
        <f t="shared" si="10"/>
        <v>36</v>
      </c>
      <c r="L41" s="52">
        <f>IF(K41&lt;='Input data'!$E$7+'Input data'!$E$45,1,0)*IF('Discount factors'!K41&lt;'Input data'!$E$45+1,0,1)</f>
        <v>0</v>
      </c>
      <c r="M41" s="72">
        <f>L41/(1+'Input data'!$D$123/100)^(K41-'Input data'!$E$6)*IF(K41&lt;'Input data'!$E$6,0,1)</f>
        <v>0</v>
      </c>
      <c r="N41" s="78">
        <f t="shared" si="11"/>
        <v>36</v>
      </c>
      <c r="O41" s="52">
        <f>IF(N41&lt;='Input data'!$E$7+'Input data'!$E$45,1,0)*IF(N41&lt;'Input data'!$E$45+1,0,1)</f>
        <v>0</v>
      </c>
      <c r="P41" s="68">
        <f>O41/(1+'Input data'!$E$123/100)^(N41-'Input data'!$E$6)*IF(N41&lt;'Input data'!$E$6,0,1)</f>
        <v>0</v>
      </c>
      <c r="Q41" s="67">
        <f t="shared" si="12"/>
        <v>36</v>
      </c>
      <c r="R41" s="74">
        <f>IF(Q41&lt;='Input data'!$E$7+'Input data'!$E$45,1,0)*IF(Q41&lt;'Input data'!$E$45+1,0,'Input data'!$D$124/'Input data'!$E$11)</f>
        <v>0</v>
      </c>
      <c r="S41" s="72">
        <f>R41/(1+'Input data'!$E$5/100)^(Q41-'Input data'!$E$6)*IF(Q41&lt;'Input data'!$E$6,0,1)</f>
        <v>0</v>
      </c>
      <c r="T41" s="78">
        <f t="shared" si="13"/>
        <v>36</v>
      </c>
      <c r="U41" s="74">
        <f>IF(T41&lt;='Input data'!$E$7+'Input data'!$E$45,1,0)*IF(T41&lt;'Input data'!$E$45+1,0,'Input data'!$E$124/'Input data'!$E$11)</f>
        <v>0</v>
      </c>
      <c r="V41" s="68">
        <f>U41/(1+'Input data'!$E$5/100)^(T41-'Input data'!$E$6)*IF(T41&lt;'Input data'!$E$6,0,1)</f>
        <v>0</v>
      </c>
    </row>
    <row r="42" spans="2:22" x14ac:dyDescent="0.25">
      <c r="B42" s="67">
        <f t="shared" si="7"/>
        <v>37</v>
      </c>
      <c r="C42" s="52">
        <f>IF(B42&lt;='Input data'!$E$7+'Input data'!$E$45,1,0)*IF(B42&lt;'Input data'!$E$45+1,0,1)</f>
        <v>0</v>
      </c>
      <c r="D42" s="68">
        <f>C42/(1+'Input data'!$E$5/100)^(B42-'Input data'!$E$6)*IF(B42&lt;'Input data'!$E$6,0,1)</f>
        <v>0</v>
      </c>
      <c r="E42" s="67">
        <f t="shared" si="8"/>
        <v>37</v>
      </c>
      <c r="F42" s="52">
        <f>IF(E42&lt;='Input data'!$D$122+'Input data'!$E$45,1,0)*IF(E42&lt;'Input data'!$E$45+1,0,1)</f>
        <v>0</v>
      </c>
      <c r="G42" s="72">
        <f>F42/(1+'Input data'!$E$5/100)^(E42-'Input data'!$E$6)*IF(E42&lt;'Input data'!$E$6,0,1)</f>
        <v>0</v>
      </c>
      <c r="H42" s="78">
        <f t="shared" si="9"/>
        <v>37</v>
      </c>
      <c r="I42" s="52">
        <f>IF(H42&lt;='Input data'!$E$122+'Input data'!$E$45,1,0)*IF('Discount factors'!H42&lt;'Input data'!$E$45+1,0,1)</f>
        <v>1</v>
      </c>
      <c r="J42" s="68">
        <f>I42/(1+'Input data'!$E$5/100)^(H42-'Input data'!$E$6)*IF(H42&lt;'Input data'!$E$6,0,1)</f>
        <v>7.8888930604615354E-2</v>
      </c>
      <c r="K42" s="67">
        <f t="shared" si="10"/>
        <v>37</v>
      </c>
      <c r="L42" s="52">
        <f>IF(K42&lt;='Input data'!$E$7+'Input data'!$E$45,1,0)*IF('Discount factors'!K42&lt;'Input data'!$E$45+1,0,1)</f>
        <v>0</v>
      </c>
      <c r="M42" s="72">
        <f>L42/(1+'Input data'!$D$123/100)^(K42-'Input data'!$E$6)*IF(K42&lt;'Input data'!$E$6,0,1)</f>
        <v>0</v>
      </c>
      <c r="N42" s="78">
        <f t="shared" si="11"/>
        <v>37</v>
      </c>
      <c r="O42" s="52">
        <f>IF(N42&lt;='Input data'!$E$7+'Input data'!$E$45,1,0)*IF(N42&lt;'Input data'!$E$45+1,0,1)</f>
        <v>0</v>
      </c>
      <c r="P42" s="68">
        <f>O42/(1+'Input data'!$E$123/100)^(N42-'Input data'!$E$6)*IF(N42&lt;'Input data'!$E$6,0,1)</f>
        <v>0</v>
      </c>
      <c r="Q42" s="67">
        <f t="shared" si="12"/>
        <v>37</v>
      </c>
      <c r="R42" s="74">
        <f>IF(Q42&lt;='Input data'!$E$7+'Input data'!$E$45,1,0)*IF(Q42&lt;'Input data'!$E$45+1,0,'Input data'!$D$124/'Input data'!$E$11)</f>
        <v>0</v>
      </c>
      <c r="S42" s="72">
        <f>R42/(1+'Input data'!$E$5/100)^(Q42-'Input data'!$E$6)*IF(Q42&lt;'Input data'!$E$6,0,1)</f>
        <v>0</v>
      </c>
      <c r="T42" s="78">
        <f t="shared" si="13"/>
        <v>37</v>
      </c>
      <c r="U42" s="74">
        <f>IF(T42&lt;='Input data'!$E$7+'Input data'!$E$45,1,0)*IF(T42&lt;'Input data'!$E$45+1,0,'Input data'!$E$124/'Input data'!$E$11)</f>
        <v>0</v>
      </c>
      <c r="V42" s="68">
        <f>U42/(1+'Input data'!$E$5/100)^(T42-'Input data'!$E$6)*IF(T42&lt;'Input data'!$E$6,0,1)</f>
        <v>0</v>
      </c>
    </row>
    <row r="43" spans="2:22" x14ac:dyDescent="0.25">
      <c r="B43" s="67">
        <f t="shared" si="7"/>
        <v>38</v>
      </c>
      <c r="C43" s="52">
        <f>IF(B43&lt;='Input data'!$E$7+'Input data'!$E$45,1,0)*IF(B43&lt;'Input data'!$E$45+1,0,1)</f>
        <v>0</v>
      </c>
      <c r="D43" s="68">
        <f>C43/(1+'Input data'!$E$5/100)^(B43-'Input data'!$E$6)*IF(B43&lt;'Input data'!$E$6,0,1)</f>
        <v>0</v>
      </c>
      <c r="E43" s="67">
        <f t="shared" si="8"/>
        <v>38</v>
      </c>
      <c r="F43" s="52">
        <f>IF(E43&lt;='Input data'!$D$122+'Input data'!$E$45,1,0)*IF(E43&lt;'Input data'!$E$45+1,0,1)</f>
        <v>0</v>
      </c>
      <c r="G43" s="72">
        <f>F43/(1+'Input data'!$E$5/100)^(E43-'Input data'!$E$6)*IF(E43&lt;'Input data'!$E$6,0,1)</f>
        <v>0</v>
      </c>
      <c r="H43" s="78">
        <f t="shared" si="9"/>
        <v>38</v>
      </c>
      <c r="I43" s="52">
        <f>IF(H43&lt;='Input data'!$E$122+'Input data'!$E$45,1,0)*IF('Discount factors'!H43&lt;'Input data'!$E$45+1,0,1)</f>
        <v>1</v>
      </c>
      <c r="J43" s="68">
        <f>I43/(1+'Input data'!$E$5/100)^(H43-'Input data'!$E$6)*IF(H43&lt;'Input data'!$E$6,0,1)</f>
        <v>7.3045306115384581E-2</v>
      </c>
      <c r="K43" s="67">
        <f t="shared" si="10"/>
        <v>38</v>
      </c>
      <c r="L43" s="52">
        <f>IF(K43&lt;='Input data'!$E$7+'Input data'!$E$45,1,0)*IF('Discount factors'!K43&lt;'Input data'!$E$45+1,0,1)</f>
        <v>0</v>
      </c>
      <c r="M43" s="72">
        <f>L43/(1+'Input data'!$D$123/100)^(K43-'Input data'!$E$6)*IF(K43&lt;'Input data'!$E$6,0,1)</f>
        <v>0</v>
      </c>
      <c r="N43" s="78">
        <f t="shared" si="11"/>
        <v>38</v>
      </c>
      <c r="O43" s="52">
        <f>IF(N43&lt;='Input data'!$E$7+'Input data'!$E$45,1,0)*IF(N43&lt;'Input data'!$E$45+1,0,1)</f>
        <v>0</v>
      </c>
      <c r="P43" s="68">
        <f>O43/(1+'Input data'!$E$123/100)^(N43-'Input data'!$E$6)*IF(N43&lt;'Input data'!$E$6,0,1)</f>
        <v>0</v>
      </c>
      <c r="Q43" s="67">
        <f t="shared" si="12"/>
        <v>38</v>
      </c>
      <c r="R43" s="74">
        <f>IF(Q43&lt;='Input data'!$E$7+'Input data'!$E$45,1,0)*IF(Q43&lt;'Input data'!$E$45+1,0,'Input data'!$D$124/'Input data'!$E$11)</f>
        <v>0</v>
      </c>
      <c r="S43" s="72">
        <f>R43/(1+'Input data'!$E$5/100)^(Q43-'Input data'!$E$6)*IF(Q43&lt;'Input data'!$E$6,0,1)</f>
        <v>0</v>
      </c>
      <c r="T43" s="78">
        <f t="shared" si="13"/>
        <v>38</v>
      </c>
      <c r="U43" s="74">
        <f>IF(T43&lt;='Input data'!$E$7+'Input data'!$E$45,1,0)*IF(T43&lt;'Input data'!$E$45+1,0,'Input data'!$E$124/'Input data'!$E$11)</f>
        <v>0</v>
      </c>
      <c r="V43" s="68">
        <f>U43/(1+'Input data'!$E$5/100)^(T43-'Input data'!$E$6)*IF(T43&lt;'Input data'!$E$6,0,1)</f>
        <v>0</v>
      </c>
    </row>
    <row r="44" spans="2:22" x14ac:dyDescent="0.25">
      <c r="B44" s="67">
        <f t="shared" si="7"/>
        <v>39</v>
      </c>
      <c r="C44" s="52">
        <f>IF(B44&lt;='Input data'!$E$7+'Input data'!$E$45,1,0)*IF(B44&lt;'Input data'!$E$45+1,0,1)</f>
        <v>0</v>
      </c>
      <c r="D44" s="68">
        <f>C44/(1+'Input data'!$E$5/100)^(B44-'Input data'!$E$6)*IF(B44&lt;'Input data'!$E$6,0,1)</f>
        <v>0</v>
      </c>
      <c r="E44" s="67">
        <f t="shared" si="8"/>
        <v>39</v>
      </c>
      <c r="F44" s="52">
        <f>IF(E44&lt;='Input data'!$D$122+'Input data'!$E$45,1,0)*IF(E44&lt;'Input data'!$E$45+1,0,1)</f>
        <v>0</v>
      </c>
      <c r="G44" s="72">
        <f>F44/(1+'Input data'!$E$5/100)^(E44-'Input data'!$E$6)*IF(E44&lt;'Input data'!$E$6,0,1)</f>
        <v>0</v>
      </c>
      <c r="H44" s="78">
        <f t="shared" si="9"/>
        <v>39</v>
      </c>
      <c r="I44" s="52">
        <f>IF(H44&lt;='Input data'!$E$122+'Input data'!$E$45,1,0)*IF('Discount factors'!H44&lt;'Input data'!$E$45+1,0,1)</f>
        <v>1</v>
      </c>
      <c r="J44" s="68">
        <f>I44/(1+'Input data'!$E$5/100)^(H44-'Input data'!$E$6)*IF(H44&lt;'Input data'!$E$6,0,1)</f>
        <v>6.7634542699430159E-2</v>
      </c>
      <c r="K44" s="67">
        <f t="shared" si="10"/>
        <v>39</v>
      </c>
      <c r="L44" s="52">
        <f>IF(K44&lt;='Input data'!$E$7+'Input data'!$E$45,1,0)*IF('Discount factors'!K44&lt;'Input data'!$E$45+1,0,1)</f>
        <v>0</v>
      </c>
      <c r="M44" s="72">
        <f>L44/(1+'Input data'!$D$123/100)^(K44-'Input data'!$E$6)*IF(K44&lt;'Input data'!$E$6,0,1)</f>
        <v>0</v>
      </c>
      <c r="N44" s="78">
        <f t="shared" si="11"/>
        <v>39</v>
      </c>
      <c r="O44" s="52">
        <f>IF(N44&lt;='Input data'!$E$7+'Input data'!$E$45,1,0)*IF(N44&lt;'Input data'!$E$45+1,0,1)</f>
        <v>0</v>
      </c>
      <c r="P44" s="68">
        <f>O44/(1+'Input data'!$E$123/100)^(N44-'Input data'!$E$6)*IF(N44&lt;'Input data'!$E$6,0,1)</f>
        <v>0</v>
      </c>
      <c r="Q44" s="67">
        <f t="shared" si="12"/>
        <v>39</v>
      </c>
      <c r="R44" s="74">
        <f>IF(Q44&lt;='Input data'!$E$7+'Input data'!$E$45,1,0)*IF(Q44&lt;'Input data'!$E$45+1,0,'Input data'!$D$124/'Input data'!$E$11)</f>
        <v>0</v>
      </c>
      <c r="S44" s="72">
        <f>R44/(1+'Input data'!$E$5/100)^(Q44-'Input data'!$E$6)*IF(Q44&lt;'Input data'!$E$6,0,1)</f>
        <v>0</v>
      </c>
      <c r="T44" s="78">
        <f t="shared" si="13"/>
        <v>39</v>
      </c>
      <c r="U44" s="74">
        <f>IF(T44&lt;='Input data'!$E$7+'Input data'!$E$45,1,0)*IF(T44&lt;'Input data'!$E$45+1,0,'Input data'!$E$124/'Input data'!$E$11)</f>
        <v>0</v>
      </c>
      <c r="V44" s="68">
        <f>U44/(1+'Input data'!$E$5/100)^(T44-'Input data'!$E$6)*IF(T44&lt;'Input data'!$E$6,0,1)</f>
        <v>0</v>
      </c>
    </row>
    <row r="45" spans="2:22" x14ac:dyDescent="0.25">
      <c r="B45" s="67">
        <f t="shared" si="7"/>
        <v>40</v>
      </c>
      <c r="C45" s="52">
        <f>IF(B45&lt;='Input data'!$E$7+'Input data'!$E$45,1,0)*IF(B45&lt;'Input data'!$E$45+1,0,1)</f>
        <v>0</v>
      </c>
      <c r="D45" s="68">
        <f>C45/(1+'Input data'!$E$5/100)^(B45-'Input data'!$E$6)*IF(B45&lt;'Input data'!$E$6,0,1)</f>
        <v>0</v>
      </c>
      <c r="E45" s="67">
        <f t="shared" si="8"/>
        <v>40</v>
      </c>
      <c r="F45" s="52">
        <f>IF(E45&lt;='Input data'!$D$122+'Input data'!$E$45,1,0)*IF(E45&lt;'Input data'!$E$45+1,0,1)</f>
        <v>0</v>
      </c>
      <c r="G45" s="72">
        <f>F45/(1+'Input data'!$E$5/100)^(E45-'Input data'!$E$6)*IF(E45&lt;'Input data'!$E$6,0,1)</f>
        <v>0</v>
      </c>
      <c r="H45" s="78">
        <f t="shared" si="9"/>
        <v>40</v>
      </c>
      <c r="I45" s="52">
        <f>IF(H45&lt;='Input data'!$E$122+'Input data'!$E$45,1,0)*IF('Discount factors'!H45&lt;'Input data'!$E$45+1,0,1)</f>
        <v>1</v>
      </c>
      <c r="J45" s="68">
        <f>I45/(1+'Input data'!$E$5/100)^(H45-'Input data'!$E$6)*IF(H45&lt;'Input data'!$E$6,0,1)</f>
        <v>6.2624576573546434E-2</v>
      </c>
      <c r="K45" s="67">
        <f t="shared" si="10"/>
        <v>40</v>
      </c>
      <c r="L45" s="52">
        <f>IF(K45&lt;='Input data'!$E$7+'Input data'!$E$45,1,0)*IF('Discount factors'!K45&lt;'Input data'!$E$45+1,0,1)</f>
        <v>0</v>
      </c>
      <c r="M45" s="72">
        <f>L45/(1+'Input data'!$D$123/100)^(K45-'Input data'!$E$6)*IF(K45&lt;'Input data'!$E$6,0,1)</f>
        <v>0</v>
      </c>
      <c r="N45" s="78">
        <f t="shared" si="11"/>
        <v>40</v>
      </c>
      <c r="O45" s="52">
        <f>IF(N45&lt;='Input data'!$E$7+'Input data'!$E$45,1,0)*IF(N45&lt;'Input data'!$E$45+1,0,1)</f>
        <v>0</v>
      </c>
      <c r="P45" s="68">
        <f>O45/(1+'Input data'!$E$123/100)^(N45-'Input data'!$E$6)*IF(N45&lt;'Input data'!$E$6,0,1)</f>
        <v>0</v>
      </c>
      <c r="Q45" s="67">
        <f t="shared" si="12"/>
        <v>40</v>
      </c>
      <c r="R45" s="74">
        <f>IF(Q45&lt;='Input data'!$E$7+'Input data'!$E$45,1,0)*IF(Q45&lt;'Input data'!$E$45+1,0,'Input data'!$D$124/'Input data'!$E$11)</f>
        <v>0</v>
      </c>
      <c r="S45" s="72">
        <f>R45/(1+'Input data'!$E$5/100)^(Q45-'Input data'!$E$6)*IF(Q45&lt;'Input data'!$E$6,0,1)</f>
        <v>0</v>
      </c>
      <c r="T45" s="78">
        <f t="shared" si="13"/>
        <v>40</v>
      </c>
      <c r="U45" s="74">
        <f>IF(T45&lt;='Input data'!$E$7+'Input data'!$E$45,1,0)*IF(T45&lt;'Input data'!$E$45+1,0,'Input data'!$E$124/'Input data'!$E$11)</f>
        <v>0</v>
      </c>
      <c r="V45" s="68">
        <f>U45/(1+'Input data'!$E$5/100)^(T45-'Input data'!$E$6)*IF(T45&lt;'Input data'!$E$6,0,1)</f>
        <v>0</v>
      </c>
    </row>
    <row r="46" spans="2:22" x14ac:dyDescent="0.25">
      <c r="B46" s="67">
        <f t="shared" si="7"/>
        <v>41</v>
      </c>
      <c r="C46" s="52">
        <f>IF(B46&lt;='Input data'!$E$7+'Input data'!$E$45,1,0)*IF(B46&lt;'Input data'!$E$45+1,0,1)</f>
        <v>0</v>
      </c>
      <c r="D46" s="68">
        <f>C46/(1+'Input data'!$E$5/100)^(B46-'Input data'!$E$6)*IF(B46&lt;'Input data'!$E$6,0,1)</f>
        <v>0</v>
      </c>
      <c r="E46" s="67">
        <f t="shared" si="8"/>
        <v>41</v>
      </c>
      <c r="F46" s="52">
        <f>IF(E46&lt;='Input data'!$D$122+'Input data'!$E$45,1,0)*IF(E46&lt;'Input data'!$E$45+1,0,1)</f>
        <v>0</v>
      </c>
      <c r="G46" s="72">
        <f>F46/(1+'Input data'!$E$5/100)^(E46-'Input data'!$E$6)*IF(E46&lt;'Input data'!$E$6,0,1)</f>
        <v>0</v>
      </c>
      <c r="H46" s="78">
        <f t="shared" si="9"/>
        <v>41</v>
      </c>
      <c r="I46" s="52">
        <f>IF(H46&lt;='Input data'!$E$122+'Input data'!$E$45,1,0)*IF('Discount factors'!H46&lt;'Input data'!$E$45+1,0,1)</f>
        <v>1</v>
      </c>
      <c r="J46" s="68">
        <f>I46/(1+'Input data'!$E$5/100)^(H46-'Input data'!$E$6)*IF(H46&lt;'Input data'!$E$6,0,1)</f>
        <v>5.7985719049580033E-2</v>
      </c>
      <c r="K46" s="67">
        <f t="shared" si="10"/>
        <v>41</v>
      </c>
      <c r="L46" s="52">
        <f>IF(K46&lt;='Input data'!$E$7+'Input data'!$E$45,1,0)*IF('Discount factors'!K46&lt;'Input data'!$E$45+1,0,1)</f>
        <v>0</v>
      </c>
      <c r="M46" s="72">
        <f>L46/(1+'Input data'!$D$123/100)^(K46-'Input data'!$E$6)*IF(K46&lt;'Input data'!$E$6,0,1)</f>
        <v>0</v>
      </c>
      <c r="N46" s="78">
        <f t="shared" si="11"/>
        <v>41</v>
      </c>
      <c r="O46" s="52">
        <f>IF(N46&lt;='Input data'!$E$7+'Input data'!$E$45,1,0)*IF(N46&lt;'Input data'!$E$45+1,0,1)</f>
        <v>0</v>
      </c>
      <c r="P46" s="68">
        <f>O46/(1+'Input data'!$E$123/100)^(N46-'Input data'!$E$6)*IF(N46&lt;'Input data'!$E$6,0,1)</f>
        <v>0</v>
      </c>
      <c r="Q46" s="67">
        <f t="shared" si="12"/>
        <v>41</v>
      </c>
      <c r="R46" s="74">
        <f>IF(Q46&lt;='Input data'!$E$7+'Input data'!$E$45,1,0)*IF(Q46&lt;'Input data'!$E$45+1,0,'Input data'!$D$124/'Input data'!$E$11)</f>
        <v>0</v>
      </c>
      <c r="S46" s="72">
        <f>R46/(1+'Input data'!$E$5/100)^(Q46-'Input data'!$E$6)*IF(Q46&lt;'Input data'!$E$6,0,1)</f>
        <v>0</v>
      </c>
      <c r="T46" s="78">
        <f t="shared" si="13"/>
        <v>41</v>
      </c>
      <c r="U46" s="74">
        <f>IF(T46&lt;='Input data'!$E$7+'Input data'!$E$45,1,0)*IF(T46&lt;'Input data'!$E$45+1,0,'Input data'!$E$124/'Input data'!$E$11)</f>
        <v>0</v>
      </c>
      <c r="V46" s="68">
        <f>U46/(1+'Input data'!$E$5/100)^(T46-'Input data'!$E$6)*IF(T46&lt;'Input data'!$E$6,0,1)</f>
        <v>0</v>
      </c>
    </row>
    <row r="47" spans="2:22" x14ac:dyDescent="0.25">
      <c r="B47" s="67">
        <f t="shared" si="7"/>
        <v>42</v>
      </c>
      <c r="C47" s="52">
        <f>IF(B47&lt;='Input data'!$E$7+'Input data'!$E$45,1,0)*IF(B47&lt;'Input data'!$E$45+1,0,1)</f>
        <v>0</v>
      </c>
      <c r="D47" s="68">
        <f>C47/(1+'Input data'!$E$5/100)^(B47-'Input data'!$E$6)*IF(B47&lt;'Input data'!$E$6,0,1)</f>
        <v>0</v>
      </c>
      <c r="E47" s="67">
        <f t="shared" si="8"/>
        <v>42</v>
      </c>
      <c r="F47" s="52">
        <f>IF(E47&lt;='Input data'!$D$122+'Input data'!$E$45,1,0)*IF(E47&lt;'Input data'!$E$45+1,0,1)</f>
        <v>0</v>
      </c>
      <c r="G47" s="72">
        <f>F47/(1+'Input data'!$E$5/100)^(E47-'Input data'!$E$6)*IF(E47&lt;'Input data'!$E$6,0,1)</f>
        <v>0</v>
      </c>
      <c r="H47" s="78">
        <f t="shared" si="9"/>
        <v>42</v>
      </c>
      <c r="I47" s="52">
        <f>IF(H47&lt;='Input data'!$E$122+'Input data'!$E$45,1,0)*IF('Discount factors'!H47&lt;'Input data'!$E$45+1,0,1)</f>
        <v>1</v>
      </c>
      <c r="J47" s="68">
        <f>I47/(1+'Input data'!$E$5/100)^(H47-'Input data'!$E$6)*IF(H47&lt;'Input data'!$E$6,0,1)</f>
        <v>5.3690480601462989E-2</v>
      </c>
      <c r="K47" s="67">
        <f t="shared" si="10"/>
        <v>42</v>
      </c>
      <c r="L47" s="52">
        <f>IF(K47&lt;='Input data'!$E$7+'Input data'!$E$45,1,0)*IF('Discount factors'!K47&lt;'Input data'!$E$45+1,0,1)</f>
        <v>0</v>
      </c>
      <c r="M47" s="72">
        <f>L47/(1+'Input data'!$D$123/100)^(K47-'Input data'!$E$6)*IF(K47&lt;'Input data'!$E$6,0,1)</f>
        <v>0</v>
      </c>
      <c r="N47" s="78">
        <f t="shared" si="11"/>
        <v>42</v>
      </c>
      <c r="O47" s="52">
        <f>IF(N47&lt;='Input data'!$E$7+'Input data'!$E$45,1,0)*IF(N47&lt;'Input data'!$E$45+1,0,1)</f>
        <v>0</v>
      </c>
      <c r="P47" s="68">
        <f>O47/(1+'Input data'!$E$123/100)^(N47-'Input data'!$E$6)*IF(N47&lt;'Input data'!$E$6,0,1)</f>
        <v>0</v>
      </c>
      <c r="Q47" s="67">
        <f t="shared" si="12"/>
        <v>42</v>
      </c>
      <c r="R47" s="74">
        <f>IF(Q47&lt;='Input data'!$E$7+'Input data'!$E$45,1,0)*IF(Q47&lt;'Input data'!$E$45+1,0,'Input data'!$D$124/'Input data'!$E$11)</f>
        <v>0</v>
      </c>
      <c r="S47" s="72">
        <f>R47/(1+'Input data'!$E$5/100)^(Q47-'Input data'!$E$6)*IF(Q47&lt;'Input data'!$E$6,0,1)</f>
        <v>0</v>
      </c>
      <c r="T47" s="78">
        <f t="shared" si="13"/>
        <v>42</v>
      </c>
      <c r="U47" s="74">
        <f>IF(T47&lt;='Input data'!$E$7+'Input data'!$E$45,1,0)*IF(T47&lt;'Input data'!$E$45+1,0,'Input data'!$E$124/'Input data'!$E$11)</f>
        <v>0</v>
      </c>
      <c r="V47" s="68">
        <f>U47/(1+'Input data'!$E$5/100)^(T47-'Input data'!$E$6)*IF(T47&lt;'Input data'!$E$6,0,1)</f>
        <v>0</v>
      </c>
    </row>
    <row r="48" spans="2:22" x14ac:dyDescent="0.25">
      <c r="B48" s="67">
        <f t="shared" si="7"/>
        <v>43</v>
      </c>
      <c r="C48" s="52">
        <f>IF(B48&lt;='Input data'!$E$7+'Input data'!$E$45,1,0)*IF(B48&lt;'Input data'!$E$45+1,0,1)</f>
        <v>0</v>
      </c>
      <c r="D48" s="68">
        <f>C48/(1+'Input data'!$E$5/100)^(B48-'Input data'!$E$6)*IF(B48&lt;'Input data'!$E$6,0,1)</f>
        <v>0</v>
      </c>
      <c r="E48" s="67">
        <f t="shared" si="8"/>
        <v>43</v>
      </c>
      <c r="F48" s="52">
        <f>IF(E48&lt;='Input data'!$D$122+'Input data'!$E$45,1,0)*IF(E48&lt;'Input data'!$E$45+1,0,1)</f>
        <v>0</v>
      </c>
      <c r="G48" s="72">
        <f>F48/(1+'Input data'!$E$5/100)^(E48-'Input data'!$E$6)*IF(E48&lt;'Input data'!$E$6,0,1)</f>
        <v>0</v>
      </c>
      <c r="H48" s="78">
        <f t="shared" si="9"/>
        <v>43</v>
      </c>
      <c r="I48" s="52">
        <f>IF(H48&lt;='Input data'!$E$122+'Input data'!$E$45,1,0)*IF('Discount factors'!H48&lt;'Input data'!$E$45+1,0,1)</f>
        <v>1</v>
      </c>
      <c r="J48" s="68">
        <f>I48/(1+'Input data'!$E$5/100)^(H48-'Input data'!$E$6)*IF(H48&lt;'Input data'!$E$6,0,1)</f>
        <v>4.9713407964317585E-2</v>
      </c>
      <c r="K48" s="67">
        <f t="shared" si="10"/>
        <v>43</v>
      </c>
      <c r="L48" s="52">
        <f>IF(K48&lt;='Input data'!$E$7+'Input data'!$E$45,1,0)*IF('Discount factors'!K48&lt;'Input data'!$E$45+1,0,1)</f>
        <v>0</v>
      </c>
      <c r="M48" s="72">
        <f>L48/(1+'Input data'!$D$123/100)^(K48-'Input data'!$E$6)*IF(K48&lt;'Input data'!$E$6,0,1)</f>
        <v>0</v>
      </c>
      <c r="N48" s="78">
        <f t="shared" si="11"/>
        <v>43</v>
      </c>
      <c r="O48" s="52">
        <f>IF(N48&lt;='Input data'!$E$7+'Input data'!$E$45,1,0)*IF(N48&lt;'Input data'!$E$45+1,0,1)</f>
        <v>0</v>
      </c>
      <c r="P48" s="68">
        <f>O48/(1+'Input data'!$E$123/100)^(N48-'Input data'!$E$6)*IF(N48&lt;'Input data'!$E$6,0,1)</f>
        <v>0</v>
      </c>
      <c r="Q48" s="67">
        <f t="shared" si="12"/>
        <v>43</v>
      </c>
      <c r="R48" s="74">
        <f>IF(Q48&lt;='Input data'!$E$7+'Input data'!$E$45,1,0)*IF(Q48&lt;'Input data'!$E$45+1,0,'Input data'!$D$124/'Input data'!$E$11)</f>
        <v>0</v>
      </c>
      <c r="S48" s="72">
        <f>R48/(1+'Input data'!$E$5/100)^(Q48-'Input data'!$E$6)*IF(Q48&lt;'Input data'!$E$6,0,1)</f>
        <v>0</v>
      </c>
      <c r="T48" s="78">
        <f t="shared" si="13"/>
        <v>43</v>
      </c>
      <c r="U48" s="74">
        <f>IF(T48&lt;='Input data'!$E$7+'Input data'!$E$45,1,0)*IF(T48&lt;'Input data'!$E$45+1,0,'Input data'!$E$124/'Input data'!$E$11)</f>
        <v>0</v>
      </c>
      <c r="V48" s="68">
        <f>U48/(1+'Input data'!$E$5/100)^(T48-'Input data'!$E$6)*IF(T48&lt;'Input data'!$E$6,0,1)</f>
        <v>0</v>
      </c>
    </row>
    <row r="49" spans="2:22" x14ac:dyDescent="0.25">
      <c r="B49" s="67">
        <f t="shared" si="7"/>
        <v>44</v>
      </c>
      <c r="C49" s="52">
        <f>IF(B49&lt;='Input data'!$E$7+'Input data'!$E$45,1,0)*IF(B49&lt;'Input data'!$E$45+1,0,1)</f>
        <v>0</v>
      </c>
      <c r="D49" s="68">
        <f>C49/(1+'Input data'!$E$5/100)^(B49-'Input data'!$E$6)*IF(B49&lt;'Input data'!$E$6,0,1)</f>
        <v>0</v>
      </c>
      <c r="E49" s="67">
        <f t="shared" si="8"/>
        <v>44</v>
      </c>
      <c r="F49" s="52">
        <f>IF(E49&lt;='Input data'!$D$122+'Input data'!$E$45,1,0)*IF(E49&lt;'Input data'!$E$45+1,0,1)</f>
        <v>0</v>
      </c>
      <c r="G49" s="72">
        <f>F49/(1+'Input data'!$E$5/100)^(E49-'Input data'!$E$6)*IF(E49&lt;'Input data'!$E$6,0,1)</f>
        <v>0</v>
      </c>
      <c r="H49" s="78">
        <f t="shared" si="9"/>
        <v>44</v>
      </c>
      <c r="I49" s="52">
        <f>IF(H49&lt;='Input data'!$E$122+'Input data'!$E$45,1,0)*IF('Discount factors'!H49&lt;'Input data'!$E$45+1,0,1)</f>
        <v>0</v>
      </c>
      <c r="J49" s="68">
        <f>I49/(1+'Input data'!$E$5/100)^(H49-'Input data'!$E$6)*IF(H49&lt;'Input data'!$E$6,0,1)</f>
        <v>0</v>
      </c>
      <c r="K49" s="67">
        <f t="shared" si="10"/>
        <v>44</v>
      </c>
      <c r="L49" s="52">
        <f>IF(K49&lt;='Input data'!$E$7+'Input data'!$E$45,1,0)*IF('Discount factors'!K49&lt;'Input data'!$E$45+1,0,1)</f>
        <v>0</v>
      </c>
      <c r="M49" s="72">
        <f>L49/(1+'Input data'!$D$123/100)^(K49-'Input data'!$E$6)*IF(K49&lt;'Input data'!$E$6,0,1)</f>
        <v>0</v>
      </c>
      <c r="N49" s="78">
        <f t="shared" si="11"/>
        <v>44</v>
      </c>
      <c r="O49" s="52">
        <f>IF(N49&lt;='Input data'!$E$7+'Input data'!$E$45,1,0)*IF(N49&lt;'Input data'!$E$45+1,0,1)</f>
        <v>0</v>
      </c>
      <c r="P49" s="68">
        <f>O49/(1+'Input data'!$E$123/100)^(N49-'Input data'!$E$6)*IF(N49&lt;'Input data'!$E$6,0,1)</f>
        <v>0</v>
      </c>
      <c r="Q49" s="67">
        <f t="shared" si="12"/>
        <v>44</v>
      </c>
      <c r="R49" s="74">
        <f>IF(Q49&lt;='Input data'!$E$7+'Input data'!$E$45,1,0)*IF(Q49&lt;'Input data'!$E$45+1,0,'Input data'!$D$124/'Input data'!$E$11)</f>
        <v>0</v>
      </c>
      <c r="S49" s="72">
        <f>R49/(1+'Input data'!$E$5/100)^(Q49-'Input data'!$E$6)*IF(Q49&lt;'Input data'!$E$6,0,1)</f>
        <v>0</v>
      </c>
      <c r="T49" s="78">
        <f t="shared" si="13"/>
        <v>44</v>
      </c>
      <c r="U49" s="74">
        <f>IF(T49&lt;='Input data'!$E$7+'Input data'!$E$45,1,0)*IF(T49&lt;'Input data'!$E$45+1,0,'Input data'!$E$124/'Input data'!$E$11)</f>
        <v>0</v>
      </c>
      <c r="V49" s="68">
        <f>U49/(1+'Input data'!$E$5/100)^(T49-'Input data'!$E$6)*IF(T49&lt;'Input data'!$E$6,0,1)</f>
        <v>0</v>
      </c>
    </row>
    <row r="50" spans="2:22" x14ac:dyDescent="0.25">
      <c r="B50" s="67">
        <f t="shared" si="7"/>
        <v>45</v>
      </c>
      <c r="C50" s="52">
        <f>IF(B50&lt;='Input data'!$E$7+'Input data'!$E$45,1,0)*IF(B50&lt;'Input data'!$E$45+1,0,1)</f>
        <v>0</v>
      </c>
      <c r="D50" s="68">
        <f>C50/(1+'Input data'!$E$5/100)^(B50-'Input data'!$E$6)*IF(B50&lt;'Input data'!$E$6,0,1)</f>
        <v>0</v>
      </c>
      <c r="E50" s="67">
        <f t="shared" si="8"/>
        <v>45</v>
      </c>
      <c r="F50" s="52">
        <f>IF(E50&lt;='Input data'!$D$122+'Input data'!$E$45,1,0)*IF(E50&lt;'Input data'!$E$45+1,0,1)</f>
        <v>0</v>
      </c>
      <c r="G50" s="72">
        <f>F50/(1+'Input data'!$E$5/100)^(E50-'Input data'!$E$6)*IF(E50&lt;'Input data'!$E$6,0,1)</f>
        <v>0</v>
      </c>
      <c r="H50" s="78">
        <f t="shared" si="9"/>
        <v>45</v>
      </c>
      <c r="I50" s="52">
        <f>IF(H50&lt;='Input data'!$E$122+'Input data'!$E$45,1,0)*IF('Discount factors'!H50&lt;'Input data'!$E$45+1,0,1)</f>
        <v>0</v>
      </c>
      <c r="J50" s="68">
        <f>I50/(1+'Input data'!$E$5/100)^(H50-'Input data'!$E$6)*IF(H50&lt;'Input data'!$E$6,0,1)</f>
        <v>0</v>
      </c>
      <c r="K50" s="67">
        <f t="shared" si="10"/>
        <v>45</v>
      </c>
      <c r="L50" s="52">
        <f>IF(K50&lt;='Input data'!$E$7+'Input data'!$E$45,1,0)*IF('Discount factors'!K50&lt;'Input data'!$E$45+1,0,1)</f>
        <v>0</v>
      </c>
      <c r="M50" s="72">
        <f>L50/(1+'Input data'!$D$123/100)^(K50-'Input data'!$E$6)*IF(K50&lt;'Input data'!$E$6,0,1)</f>
        <v>0</v>
      </c>
      <c r="N50" s="78">
        <f t="shared" si="11"/>
        <v>45</v>
      </c>
      <c r="O50" s="52">
        <f>IF(N50&lt;='Input data'!$E$7+'Input data'!$E$45,1,0)*IF(N50&lt;'Input data'!$E$45+1,0,1)</f>
        <v>0</v>
      </c>
      <c r="P50" s="68">
        <f>O50/(1+'Input data'!$E$123/100)^(N50-'Input data'!$E$6)*IF(N50&lt;'Input data'!$E$6,0,1)</f>
        <v>0</v>
      </c>
      <c r="Q50" s="67">
        <f t="shared" si="12"/>
        <v>45</v>
      </c>
      <c r="R50" s="74">
        <f>IF(Q50&lt;='Input data'!$E$7+'Input data'!$E$45,1,0)*IF(Q50&lt;'Input data'!$E$45+1,0,'Input data'!$D$124/'Input data'!$E$11)</f>
        <v>0</v>
      </c>
      <c r="S50" s="72">
        <f>R50/(1+'Input data'!$E$5/100)^(Q50-'Input data'!$E$6)*IF(Q50&lt;'Input data'!$E$6,0,1)</f>
        <v>0</v>
      </c>
      <c r="T50" s="78">
        <f t="shared" si="13"/>
        <v>45</v>
      </c>
      <c r="U50" s="74">
        <f>IF(T50&lt;='Input data'!$E$7+'Input data'!$E$45,1,0)*IF(T50&lt;'Input data'!$E$45+1,0,'Input data'!$E$124/'Input data'!$E$11)</f>
        <v>0</v>
      </c>
      <c r="V50" s="68">
        <f>U50/(1+'Input data'!$E$5/100)^(T50-'Input data'!$E$6)*IF(T50&lt;'Input data'!$E$6,0,1)</f>
        <v>0</v>
      </c>
    </row>
    <row r="51" spans="2:22" x14ac:dyDescent="0.25">
      <c r="B51" s="67">
        <f t="shared" si="7"/>
        <v>46</v>
      </c>
      <c r="C51" s="52">
        <f>IF(B51&lt;='Input data'!$E$7+'Input data'!$E$45,1,0)*IF(B51&lt;'Input data'!$E$45+1,0,1)</f>
        <v>0</v>
      </c>
      <c r="D51" s="68">
        <f>C51/(1+'Input data'!$E$5/100)^(B51-'Input data'!$E$6)*IF(B51&lt;'Input data'!$E$6,0,1)</f>
        <v>0</v>
      </c>
      <c r="E51" s="67">
        <f t="shared" si="8"/>
        <v>46</v>
      </c>
      <c r="F51" s="52">
        <f>IF(E51&lt;='Input data'!$D$122+'Input data'!$E$45,1,0)*IF(E51&lt;'Input data'!$E$45+1,0,1)</f>
        <v>0</v>
      </c>
      <c r="G51" s="72">
        <f>F51/(1+'Input data'!$E$5/100)^(E51-'Input data'!$E$6)*IF(E51&lt;'Input data'!$E$6,0,1)</f>
        <v>0</v>
      </c>
      <c r="H51" s="78">
        <f t="shared" si="9"/>
        <v>46</v>
      </c>
      <c r="I51" s="52">
        <f>IF(H51&lt;='Input data'!$E$122+'Input data'!$E$45,1,0)*IF('Discount factors'!H51&lt;'Input data'!$E$45+1,0,1)</f>
        <v>0</v>
      </c>
      <c r="J51" s="68">
        <f>I51/(1+'Input data'!$E$5/100)^(H51-'Input data'!$E$6)*IF(H51&lt;'Input data'!$E$6,0,1)</f>
        <v>0</v>
      </c>
      <c r="K51" s="67">
        <f t="shared" si="10"/>
        <v>46</v>
      </c>
      <c r="L51" s="52">
        <f>IF(K51&lt;='Input data'!$E$7+'Input data'!$E$45,1,0)*IF('Discount factors'!K51&lt;'Input data'!$E$45+1,0,1)</f>
        <v>0</v>
      </c>
      <c r="M51" s="72">
        <f>L51/(1+'Input data'!$D$123/100)^(K51-'Input data'!$E$6)*IF(K51&lt;'Input data'!$E$6,0,1)</f>
        <v>0</v>
      </c>
      <c r="N51" s="78">
        <f t="shared" si="11"/>
        <v>46</v>
      </c>
      <c r="O51" s="52">
        <f>IF(N51&lt;='Input data'!$E$7+'Input data'!$E$45,1,0)*IF(N51&lt;'Input data'!$E$45+1,0,1)</f>
        <v>0</v>
      </c>
      <c r="P51" s="68">
        <f>O51/(1+'Input data'!$E$123/100)^(N51-'Input data'!$E$6)*IF(N51&lt;'Input data'!$E$6,0,1)</f>
        <v>0</v>
      </c>
      <c r="Q51" s="67">
        <f t="shared" si="12"/>
        <v>46</v>
      </c>
      <c r="R51" s="74">
        <f>IF(Q51&lt;='Input data'!$E$7+'Input data'!$E$45,1,0)*IF(Q51&lt;'Input data'!$E$45+1,0,'Input data'!$D$124/'Input data'!$E$11)</f>
        <v>0</v>
      </c>
      <c r="S51" s="72">
        <f>R51/(1+'Input data'!$E$5/100)^(Q51-'Input data'!$E$6)*IF(Q51&lt;'Input data'!$E$6,0,1)</f>
        <v>0</v>
      </c>
      <c r="T51" s="78">
        <f t="shared" si="13"/>
        <v>46</v>
      </c>
      <c r="U51" s="74">
        <f>IF(T51&lt;='Input data'!$E$7+'Input data'!$E$45,1,0)*IF(T51&lt;'Input data'!$E$45+1,0,'Input data'!$E$124/'Input data'!$E$11)</f>
        <v>0</v>
      </c>
      <c r="V51" s="68">
        <f>U51/(1+'Input data'!$E$5/100)^(T51-'Input data'!$E$6)*IF(T51&lt;'Input data'!$E$6,0,1)</f>
        <v>0</v>
      </c>
    </row>
    <row r="52" spans="2:22" x14ac:dyDescent="0.25">
      <c r="B52" s="67">
        <f t="shared" si="7"/>
        <v>47</v>
      </c>
      <c r="C52" s="52">
        <f>IF(B52&lt;='Input data'!$E$7+'Input data'!$E$45,1,0)*IF(B52&lt;'Input data'!$E$45+1,0,1)</f>
        <v>0</v>
      </c>
      <c r="D52" s="68">
        <f>C52/(1+'Input data'!$E$5/100)^(B52-'Input data'!$E$6)*IF(B52&lt;'Input data'!$E$6,0,1)</f>
        <v>0</v>
      </c>
      <c r="E52" s="67">
        <f t="shared" si="8"/>
        <v>47</v>
      </c>
      <c r="F52" s="52">
        <f>IF(E52&lt;='Input data'!$D$122+'Input data'!$E$45,1,0)*IF(E52&lt;'Input data'!$E$45+1,0,1)</f>
        <v>0</v>
      </c>
      <c r="G52" s="72">
        <f>F52/(1+'Input data'!$E$5/100)^(E52-'Input data'!$E$6)*IF(E52&lt;'Input data'!$E$6,0,1)</f>
        <v>0</v>
      </c>
      <c r="H52" s="78">
        <f t="shared" si="9"/>
        <v>47</v>
      </c>
      <c r="I52" s="52">
        <f>IF(H52&lt;='Input data'!$E$122+'Input data'!$E$45,1,0)*IF('Discount factors'!H52&lt;'Input data'!$E$45+1,0,1)</f>
        <v>0</v>
      </c>
      <c r="J52" s="68">
        <f>I52/(1+'Input data'!$E$5/100)^(H52-'Input data'!$E$6)*IF(H52&lt;'Input data'!$E$6,0,1)</f>
        <v>0</v>
      </c>
      <c r="K52" s="67">
        <f t="shared" si="10"/>
        <v>47</v>
      </c>
      <c r="L52" s="52">
        <f>IF(K52&lt;='Input data'!$E$7+'Input data'!$E$45,1,0)*IF('Discount factors'!K52&lt;'Input data'!$E$45+1,0,1)</f>
        <v>0</v>
      </c>
      <c r="M52" s="72">
        <f>L52/(1+'Input data'!$D$123/100)^(K52-'Input data'!$E$6)*IF(K52&lt;'Input data'!$E$6,0,1)</f>
        <v>0</v>
      </c>
      <c r="N52" s="78">
        <f t="shared" si="11"/>
        <v>47</v>
      </c>
      <c r="O52" s="52">
        <f>IF(N52&lt;='Input data'!$E$7+'Input data'!$E$45,1,0)*IF(N52&lt;'Input data'!$E$45+1,0,1)</f>
        <v>0</v>
      </c>
      <c r="P52" s="68">
        <f>O52/(1+'Input data'!$E$123/100)^(N52-'Input data'!$E$6)*IF(N52&lt;'Input data'!$E$6,0,1)</f>
        <v>0</v>
      </c>
      <c r="Q52" s="67">
        <f t="shared" si="12"/>
        <v>47</v>
      </c>
      <c r="R52" s="74">
        <f>IF(Q52&lt;='Input data'!$E$7+'Input data'!$E$45,1,0)*IF(Q52&lt;'Input data'!$E$45+1,0,'Input data'!$D$124/'Input data'!$E$11)</f>
        <v>0</v>
      </c>
      <c r="S52" s="72">
        <f>R52/(1+'Input data'!$E$5/100)^(Q52-'Input data'!$E$6)*IF(Q52&lt;'Input data'!$E$6,0,1)</f>
        <v>0</v>
      </c>
      <c r="T52" s="78">
        <f t="shared" si="13"/>
        <v>47</v>
      </c>
      <c r="U52" s="74">
        <f>IF(T52&lt;='Input data'!$E$7+'Input data'!$E$45,1,0)*IF(T52&lt;'Input data'!$E$45+1,0,'Input data'!$E$124/'Input data'!$E$11)</f>
        <v>0</v>
      </c>
      <c r="V52" s="68">
        <f>U52/(1+'Input data'!$E$5/100)^(T52-'Input data'!$E$6)*IF(T52&lt;'Input data'!$E$6,0,1)</f>
        <v>0</v>
      </c>
    </row>
    <row r="53" spans="2:22" x14ac:dyDescent="0.25">
      <c r="B53" s="67">
        <f t="shared" si="7"/>
        <v>48</v>
      </c>
      <c r="C53" s="52">
        <f>IF(B53&lt;='Input data'!$E$7+'Input data'!$E$45,1,0)*IF(B53&lt;'Input data'!$E$45+1,0,1)</f>
        <v>0</v>
      </c>
      <c r="D53" s="68">
        <f>C53/(1+'Input data'!$E$5/100)^(B53-'Input data'!$E$6)*IF(B53&lt;'Input data'!$E$6,0,1)</f>
        <v>0</v>
      </c>
      <c r="E53" s="67">
        <f t="shared" si="8"/>
        <v>48</v>
      </c>
      <c r="F53" s="52">
        <f>IF(E53&lt;='Input data'!$D$122+'Input data'!$E$45,1,0)*IF(E53&lt;'Input data'!$E$45+1,0,1)</f>
        <v>0</v>
      </c>
      <c r="G53" s="72">
        <f>F53/(1+'Input data'!$E$5/100)^(E53-'Input data'!$E$6)*IF(E53&lt;'Input data'!$E$6,0,1)</f>
        <v>0</v>
      </c>
      <c r="H53" s="78">
        <f t="shared" si="9"/>
        <v>48</v>
      </c>
      <c r="I53" s="52">
        <f>IF(H53&lt;='Input data'!$E$122+'Input data'!$E$45,1,0)*IF('Discount factors'!H53&lt;'Input data'!$E$45+1,0,1)</f>
        <v>0</v>
      </c>
      <c r="J53" s="68">
        <f>I53/(1+'Input data'!$E$5/100)^(H53-'Input data'!$E$6)*IF(H53&lt;'Input data'!$E$6,0,1)</f>
        <v>0</v>
      </c>
      <c r="K53" s="67">
        <f t="shared" si="10"/>
        <v>48</v>
      </c>
      <c r="L53" s="52">
        <f>IF(K53&lt;='Input data'!$E$7+'Input data'!$E$45,1,0)*IF('Discount factors'!K53&lt;'Input data'!$E$45+1,0,1)</f>
        <v>0</v>
      </c>
      <c r="M53" s="72">
        <f>L53/(1+'Input data'!$D$123/100)^(K53-'Input data'!$E$6)*IF(K53&lt;'Input data'!$E$6,0,1)</f>
        <v>0</v>
      </c>
      <c r="N53" s="78">
        <f t="shared" si="11"/>
        <v>48</v>
      </c>
      <c r="O53" s="52">
        <f>IF(N53&lt;='Input data'!$E$7+'Input data'!$E$45,1,0)*IF(N53&lt;'Input data'!$E$45+1,0,1)</f>
        <v>0</v>
      </c>
      <c r="P53" s="68">
        <f>O53/(1+'Input data'!$E$123/100)^(N53-'Input data'!$E$6)*IF(N53&lt;'Input data'!$E$6,0,1)</f>
        <v>0</v>
      </c>
      <c r="Q53" s="67">
        <f t="shared" si="12"/>
        <v>48</v>
      </c>
      <c r="R53" s="74">
        <f>IF(Q53&lt;='Input data'!$E$7+'Input data'!$E$45,1,0)*IF(Q53&lt;'Input data'!$E$45+1,0,'Input data'!$D$124/'Input data'!$E$11)</f>
        <v>0</v>
      </c>
      <c r="S53" s="72">
        <f>R53/(1+'Input data'!$E$5/100)^(Q53-'Input data'!$E$6)*IF(Q53&lt;'Input data'!$E$6,0,1)</f>
        <v>0</v>
      </c>
      <c r="T53" s="78">
        <f t="shared" si="13"/>
        <v>48</v>
      </c>
      <c r="U53" s="74">
        <f>IF(T53&lt;='Input data'!$E$7+'Input data'!$E$45,1,0)*IF(T53&lt;'Input data'!$E$45+1,0,'Input data'!$E$124/'Input data'!$E$11)</f>
        <v>0</v>
      </c>
      <c r="V53" s="68">
        <f>U53/(1+'Input data'!$E$5/100)^(T53-'Input data'!$E$6)*IF(T53&lt;'Input data'!$E$6,0,1)</f>
        <v>0</v>
      </c>
    </row>
    <row r="54" spans="2:22" x14ac:dyDescent="0.25">
      <c r="B54" s="67">
        <f t="shared" si="7"/>
        <v>49</v>
      </c>
      <c r="C54" s="52">
        <f>IF(B54&lt;='Input data'!$E$7+'Input data'!$E$45,1,0)*IF(B54&lt;'Input data'!$E$45+1,0,1)</f>
        <v>0</v>
      </c>
      <c r="D54" s="68">
        <f>C54/(1+'Input data'!$E$5/100)^(B54-'Input data'!$E$6)*IF(B54&lt;'Input data'!$E$6,0,1)</f>
        <v>0</v>
      </c>
      <c r="E54" s="67">
        <f t="shared" si="8"/>
        <v>49</v>
      </c>
      <c r="F54" s="52">
        <f>IF(E54&lt;='Input data'!$D$122+'Input data'!$E$45,1,0)*IF(E54&lt;'Input data'!$E$45+1,0,1)</f>
        <v>0</v>
      </c>
      <c r="G54" s="72">
        <f>F54/(1+'Input data'!$E$5/100)^(E54-'Input data'!$E$6)*IF(E54&lt;'Input data'!$E$6,0,1)</f>
        <v>0</v>
      </c>
      <c r="H54" s="78">
        <f t="shared" si="9"/>
        <v>49</v>
      </c>
      <c r="I54" s="52">
        <f>IF(H54&lt;='Input data'!$E$122+'Input data'!$E$45,1,0)*IF('Discount factors'!H54&lt;'Input data'!$E$45+1,0,1)</f>
        <v>0</v>
      </c>
      <c r="J54" s="68">
        <f>I54/(1+'Input data'!$E$5/100)^(H54-'Input data'!$E$6)*IF(H54&lt;'Input data'!$E$6,0,1)</f>
        <v>0</v>
      </c>
      <c r="K54" s="67">
        <f t="shared" si="10"/>
        <v>49</v>
      </c>
      <c r="L54" s="52">
        <f>IF(K54&lt;='Input data'!$E$7+'Input data'!$E$45,1,0)*IF('Discount factors'!K54&lt;'Input data'!$E$45+1,0,1)</f>
        <v>0</v>
      </c>
      <c r="M54" s="72">
        <f>L54/(1+'Input data'!$D$123/100)^(K54-'Input data'!$E$6)*IF(K54&lt;'Input data'!$E$6,0,1)</f>
        <v>0</v>
      </c>
      <c r="N54" s="78">
        <f t="shared" si="11"/>
        <v>49</v>
      </c>
      <c r="O54" s="52">
        <f>IF(N54&lt;='Input data'!$E$7+'Input data'!$E$45,1,0)*IF(N54&lt;'Input data'!$E$45+1,0,1)</f>
        <v>0</v>
      </c>
      <c r="P54" s="68">
        <f>O54/(1+'Input data'!$E$123/100)^(N54-'Input data'!$E$6)*IF(N54&lt;'Input data'!$E$6,0,1)</f>
        <v>0</v>
      </c>
      <c r="Q54" s="67">
        <f t="shared" si="12"/>
        <v>49</v>
      </c>
      <c r="R54" s="74">
        <f>IF(Q54&lt;='Input data'!$E$7+'Input data'!$E$45,1,0)*IF(Q54&lt;'Input data'!$E$45+1,0,'Input data'!$D$124/'Input data'!$E$11)</f>
        <v>0</v>
      </c>
      <c r="S54" s="72">
        <f>R54/(1+'Input data'!$E$5/100)^(Q54-'Input data'!$E$6)*IF(Q54&lt;'Input data'!$E$6,0,1)</f>
        <v>0</v>
      </c>
      <c r="T54" s="78">
        <f t="shared" si="13"/>
        <v>49</v>
      </c>
      <c r="U54" s="74">
        <f>IF(T54&lt;='Input data'!$E$7+'Input data'!$E$45,1,0)*IF(T54&lt;'Input data'!$E$45+1,0,'Input data'!$E$124/'Input data'!$E$11)</f>
        <v>0</v>
      </c>
      <c r="V54" s="68">
        <f>U54/(1+'Input data'!$E$5/100)^(T54-'Input data'!$E$6)*IF(T54&lt;'Input data'!$E$6,0,1)</f>
        <v>0</v>
      </c>
    </row>
    <row r="55" spans="2:22" x14ac:dyDescent="0.25">
      <c r="B55" s="67">
        <f t="shared" si="7"/>
        <v>50</v>
      </c>
      <c r="C55" s="52">
        <f>IF(B55&lt;='Input data'!$E$7+'Input data'!$E$45,1,0)*IF(B55&lt;'Input data'!$E$45+1,0,1)</f>
        <v>0</v>
      </c>
      <c r="D55" s="68">
        <f>C55/(1+'Input data'!$E$5/100)^(B55-'Input data'!$E$6)*IF(B55&lt;'Input data'!$E$6,0,1)</f>
        <v>0</v>
      </c>
      <c r="E55" s="67">
        <f t="shared" si="8"/>
        <v>50</v>
      </c>
      <c r="F55" s="52">
        <f>IF(E55&lt;='Input data'!$D$122+'Input data'!$E$45,1,0)*IF(E55&lt;'Input data'!$E$45+1,0,1)</f>
        <v>0</v>
      </c>
      <c r="G55" s="72">
        <f>F55/(1+'Input data'!$E$5/100)^(E55-'Input data'!$E$6)*IF(E55&lt;'Input data'!$E$6,0,1)</f>
        <v>0</v>
      </c>
      <c r="H55" s="78">
        <f t="shared" si="9"/>
        <v>50</v>
      </c>
      <c r="I55" s="52">
        <f>IF(H55&lt;='Input data'!$E$122+'Input data'!$E$45,1,0)*IF('Discount factors'!H55&lt;'Input data'!$E$45+1,0,1)</f>
        <v>0</v>
      </c>
      <c r="J55" s="68">
        <f>I55/(1+'Input data'!$E$5/100)^(H55-'Input data'!$E$6)*IF(H55&lt;'Input data'!$E$6,0,1)</f>
        <v>0</v>
      </c>
      <c r="K55" s="67">
        <f t="shared" si="10"/>
        <v>50</v>
      </c>
      <c r="L55" s="52">
        <f>IF(K55&lt;='Input data'!$E$7+'Input data'!$E$45,1,0)*IF('Discount factors'!K55&lt;'Input data'!$E$45+1,0,1)</f>
        <v>0</v>
      </c>
      <c r="M55" s="72">
        <f>L55/(1+'Input data'!$D$123/100)^(K55-'Input data'!$E$6)*IF(K55&lt;'Input data'!$E$6,0,1)</f>
        <v>0</v>
      </c>
      <c r="N55" s="78">
        <f t="shared" si="11"/>
        <v>50</v>
      </c>
      <c r="O55" s="52">
        <f>IF(N55&lt;='Input data'!$E$7+'Input data'!$E$45,1,0)*IF(N55&lt;'Input data'!$E$45+1,0,1)</f>
        <v>0</v>
      </c>
      <c r="P55" s="68">
        <f>O55/(1+'Input data'!$E$123/100)^(N55-'Input data'!$E$6)*IF(N55&lt;'Input data'!$E$6,0,1)</f>
        <v>0</v>
      </c>
      <c r="Q55" s="67">
        <f t="shared" si="12"/>
        <v>50</v>
      </c>
      <c r="R55" s="74">
        <f>IF(Q55&lt;='Input data'!$E$7+'Input data'!$E$45,1,0)*IF(Q55&lt;'Input data'!$E$45+1,0,'Input data'!$D$124/'Input data'!$E$11)</f>
        <v>0</v>
      </c>
      <c r="S55" s="72">
        <f>R55/(1+'Input data'!$E$5/100)^(Q55-'Input data'!$E$6)*IF(Q55&lt;'Input data'!$E$6,0,1)</f>
        <v>0</v>
      </c>
      <c r="T55" s="78">
        <f t="shared" si="13"/>
        <v>50</v>
      </c>
      <c r="U55" s="74">
        <f>IF(T55&lt;='Input data'!$E$7+'Input data'!$E$45,1,0)*IF(T55&lt;'Input data'!$E$45+1,0,'Input data'!$E$124/'Input data'!$E$11)</f>
        <v>0</v>
      </c>
      <c r="V55" s="68">
        <f>U55/(1+'Input data'!$E$5/100)^(T55-'Input data'!$E$6)*IF(T55&lt;'Input data'!$E$6,0,1)</f>
        <v>0</v>
      </c>
    </row>
    <row r="56" spans="2:22" x14ac:dyDescent="0.25">
      <c r="B56" s="67">
        <f t="shared" si="7"/>
        <v>51</v>
      </c>
      <c r="C56" s="52">
        <f>IF(B56&lt;='Input data'!$E$7+'Input data'!$E$45,1,0)*IF(B56&lt;'Input data'!$E$45+1,0,1)</f>
        <v>0</v>
      </c>
      <c r="D56" s="68">
        <f>C56/(1+'Input data'!$E$5/100)^(B56-'Input data'!$E$6)*IF(B56&lt;'Input data'!$E$6,0,1)</f>
        <v>0</v>
      </c>
      <c r="E56" s="67">
        <f t="shared" si="8"/>
        <v>51</v>
      </c>
      <c r="F56" s="52">
        <f>IF(E56&lt;='Input data'!$D$122+'Input data'!$E$45,1,0)*IF(E56&lt;'Input data'!$E$45+1,0,1)</f>
        <v>0</v>
      </c>
      <c r="G56" s="72">
        <f>F56/(1+'Input data'!$E$5/100)^(E56-'Input data'!$E$6)*IF(E56&lt;'Input data'!$E$6,0,1)</f>
        <v>0</v>
      </c>
      <c r="H56" s="78">
        <f t="shared" si="9"/>
        <v>51</v>
      </c>
      <c r="I56" s="52">
        <f>IF(H56&lt;='Input data'!$E$122+'Input data'!$E$45,1,0)*IF('Discount factors'!H56&lt;'Input data'!$E$45+1,0,1)</f>
        <v>0</v>
      </c>
      <c r="J56" s="68">
        <f>I56/(1+'Input data'!$E$5/100)^(H56-'Input data'!$E$6)*IF(H56&lt;'Input data'!$E$6,0,1)</f>
        <v>0</v>
      </c>
      <c r="K56" s="67">
        <f t="shared" si="10"/>
        <v>51</v>
      </c>
      <c r="L56" s="52">
        <f>IF(K56&lt;='Input data'!$E$7+'Input data'!$E$45,1,0)*IF('Discount factors'!K56&lt;'Input data'!$E$45+1,0,1)</f>
        <v>0</v>
      </c>
      <c r="M56" s="72">
        <f>L56/(1+'Input data'!$D$123/100)^(K56-'Input data'!$E$6)*IF(K56&lt;'Input data'!$E$6,0,1)</f>
        <v>0</v>
      </c>
      <c r="N56" s="78">
        <f t="shared" si="11"/>
        <v>51</v>
      </c>
      <c r="O56" s="52">
        <f>IF(N56&lt;='Input data'!$E$7+'Input data'!$E$45,1,0)*IF(N56&lt;'Input data'!$E$45+1,0,1)</f>
        <v>0</v>
      </c>
      <c r="P56" s="68">
        <f>O56/(1+'Input data'!$E$123/100)^(N56-'Input data'!$E$6)*IF(N56&lt;'Input data'!$E$6,0,1)</f>
        <v>0</v>
      </c>
      <c r="Q56" s="67">
        <f t="shared" si="12"/>
        <v>51</v>
      </c>
      <c r="R56" s="74">
        <f>IF(Q56&lt;='Input data'!$E$7+'Input data'!$E$45,1,0)*IF(Q56&lt;'Input data'!$E$45+1,0,'Input data'!$D$124/'Input data'!$E$11)</f>
        <v>0</v>
      </c>
      <c r="S56" s="72">
        <f>R56/(1+'Input data'!$E$5/100)^(Q56-'Input data'!$E$6)*IF(Q56&lt;'Input data'!$E$6,0,1)</f>
        <v>0</v>
      </c>
      <c r="T56" s="78">
        <f t="shared" si="13"/>
        <v>51</v>
      </c>
      <c r="U56" s="74">
        <f>IF(T56&lt;='Input data'!$E$7+'Input data'!$E$45,1,0)*IF(T56&lt;'Input data'!$E$45+1,0,'Input data'!$E$124/'Input data'!$E$11)</f>
        <v>0</v>
      </c>
      <c r="V56" s="68">
        <f>U56/(1+'Input data'!$E$5/100)^(T56-'Input data'!$E$6)*IF(T56&lt;'Input data'!$E$6,0,1)</f>
        <v>0</v>
      </c>
    </row>
    <row r="57" spans="2:22" x14ac:dyDescent="0.25">
      <c r="B57" s="67">
        <f t="shared" si="7"/>
        <v>52</v>
      </c>
      <c r="C57" s="52">
        <f>IF(B57&lt;='Input data'!$E$7+'Input data'!$E$45,1,0)*IF(B57&lt;'Input data'!$E$45+1,0,1)</f>
        <v>0</v>
      </c>
      <c r="D57" s="68">
        <f>C57/(1+'Input data'!$E$5/100)^(B57-'Input data'!$E$6)*IF(B57&lt;'Input data'!$E$6,0,1)</f>
        <v>0</v>
      </c>
      <c r="E57" s="67">
        <f t="shared" si="8"/>
        <v>52</v>
      </c>
      <c r="F57" s="52">
        <f>IF(E57&lt;='Input data'!$D$122+'Input data'!$E$45,1,0)*IF(E57&lt;'Input data'!$E$45+1,0,1)</f>
        <v>0</v>
      </c>
      <c r="G57" s="72">
        <f>F57/(1+'Input data'!$E$5/100)^(E57-'Input data'!$E$6)*IF(E57&lt;'Input data'!$E$6,0,1)</f>
        <v>0</v>
      </c>
      <c r="H57" s="78">
        <f t="shared" si="9"/>
        <v>52</v>
      </c>
      <c r="I57" s="52">
        <f>IF(H57&lt;='Input data'!$E$122+'Input data'!$E$45,1,0)*IF('Discount factors'!H57&lt;'Input data'!$E$45+1,0,1)</f>
        <v>0</v>
      </c>
      <c r="J57" s="68">
        <f>I57/(1+'Input data'!$E$5/100)^(H57-'Input data'!$E$6)*IF(H57&lt;'Input data'!$E$6,0,1)</f>
        <v>0</v>
      </c>
      <c r="K57" s="67">
        <f t="shared" si="10"/>
        <v>52</v>
      </c>
      <c r="L57" s="52">
        <f>IF(K57&lt;='Input data'!$E$7+'Input data'!$E$45,1,0)*IF('Discount factors'!K57&lt;'Input data'!$E$45+1,0,1)</f>
        <v>0</v>
      </c>
      <c r="M57" s="72">
        <f>L57/(1+'Input data'!$D$123/100)^(K57-'Input data'!$E$6)*IF(K57&lt;'Input data'!$E$6,0,1)</f>
        <v>0</v>
      </c>
      <c r="N57" s="78">
        <f t="shared" si="11"/>
        <v>52</v>
      </c>
      <c r="O57" s="52">
        <f>IF(N57&lt;='Input data'!$E$7+'Input data'!$E$45,1,0)*IF(N57&lt;'Input data'!$E$45+1,0,1)</f>
        <v>0</v>
      </c>
      <c r="P57" s="68">
        <f>O57/(1+'Input data'!$E$123/100)^(N57-'Input data'!$E$6)*IF(N57&lt;'Input data'!$E$6,0,1)</f>
        <v>0</v>
      </c>
      <c r="Q57" s="67">
        <f t="shared" si="12"/>
        <v>52</v>
      </c>
      <c r="R57" s="74">
        <f>IF(Q57&lt;='Input data'!$E$7+'Input data'!$E$45,1,0)*IF(Q57&lt;'Input data'!$E$45+1,0,'Input data'!$D$124/'Input data'!$E$11)</f>
        <v>0</v>
      </c>
      <c r="S57" s="72">
        <f>R57/(1+'Input data'!$E$5/100)^(Q57-'Input data'!$E$6)*IF(Q57&lt;'Input data'!$E$6,0,1)</f>
        <v>0</v>
      </c>
      <c r="T57" s="78">
        <f t="shared" si="13"/>
        <v>52</v>
      </c>
      <c r="U57" s="74">
        <f>IF(T57&lt;='Input data'!$E$7+'Input data'!$E$45,1,0)*IF(T57&lt;'Input data'!$E$45+1,0,'Input data'!$E$124/'Input data'!$E$11)</f>
        <v>0</v>
      </c>
      <c r="V57" s="68">
        <f>U57/(1+'Input data'!$E$5/100)^(T57-'Input data'!$E$6)*IF(T57&lt;'Input data'!$E$6,0,1)</f>
        <v>0</v>
      </c>
    </row>
    <row r="58" spans="2:22" ht="15.75" thickBot="1" x14ac:dyDescent="0.3">
      <c r="B58" s="69">
        <f t="shared" si="7"/>
        <v>53</v>
      </c>
      <c r="C58" s="70">
        <f>IF(B58&lt;='Input data'!$E$7+'Input data'!$E$45,1,0)*IF(B58&lt;'Input data'!$E$45+1,0,1)</f>
        <v>0</v>
      </c>
      <c r="D58" s="71">
        <f>C58/(1+'Input data'!$E$5/100)^(B58-'Input data'!$E$6)*IF(B58&lt;'Input data'!$E$6,0,1)</f>
        <v>0</v>
      </c>
      <c r="E58" s="69">
        <f t="shared" si="8"/>
        <v>53</v>
      </c>
      <c r="F58" s="70">
        <f>IF(E58&lt;='Input data'!$D$122+'Input data'!$E$45,1,0)*IF(E58&lt;'Input data'!$E$45+1,0,1)</f>
        <v>0</v>
      </c>
      <c r="G58" s="73">
        <f>F58/(1+'Input data'!$E$5/100)^(E58-'Input data'!$E$6)*IF(E58&lt;'Input data'!$E$6,0,1)</f>
        <v>0</v>
      </c>
      <c r="H58" s="79">
        <f t="shared" si="9"/>
        <v>53</v>
      </c>
      <c r="I58" s="70">
        <f>IF(H58&lt;='Input data'!$E$122+'Input data'!$E$45,1,0)*IF('Discount factors'!H58&lt;'Input data'!$E$45+1,0,1)</f>
        <v>0</v>
      </c>
      <c r="J58" s="71">
        <f>I58/(1+'Input data'!$E$5/100)^(H58-'Input data'!$E$6)*IF(H58&lt;'Input data'!$E$6,0,1)</f>
        <v>0</v>
      </c>
      <c r="K58" s="69">
        <f t="shared" si="10"/>
        <v>53</v>
      </c>
      <c r="L58" s="70">
        <f>IF(K58&lt;='Input data'!$E$7+'Input data'!$E$45,1,0)*IF('Discount factors'!K58&lt;'Input data'!$E$45+1,0,1)</f>
        <v>0</v>
      </c>
      <c r="M58" s="73">
        <f>L58/(1+'Input data'!$D$123/100)^(K58-'Input data'!$E$6)*IF(K58&lt;'Input data'!$E$6,0,1)</f>
        <v>0</v>
      </c>
      <c r="N58" s="79">
        <f t="shared" si="11"/>
        <v>53</v>
      </c>
      <c r="O58" s="70">
        <f>IF(N58&lt;='Input data'!$E$7+'Input data'!$E$45,1,0)*IF(N58&lt;'Input data'!$E$45+1,0,1)</f>
        <v>0</v>
      </c>
      <c r="P58" s="71">
        <f>O58/(1+'Input data'!$E$123/100)^(N58-'Input data'!$E$6)*IF(N58&lt;'Input data'!$E$6,0,1)</f>
        <v>0</v>
      </c>
      <c r="Q58" s="69">
        <f t="shared" si="12"/>
        <v>53</v>
      </c>
      <c r="R58" s="75">
        <f>IF(Q58&lt;='Input data'!$E$7+'Input data'!$E$45,1,0)*IF(Q58&lt;'Input data'!$E$45+1,0,'Input data'!$D$124/'Input data'!$E$11)</f>
        <v>0</v>
      </c>
      <c r="S58" s="73">
        <f>R58/(1+'Input data'!$E$5/100)^(Q58-'Input data'!$E$6)*IF(Q58&lt;'Input data'!$E$6,0,1)</f>
        <v>0</v>
      </c>
      <c r="T58" s="79">
        <f t="shared" si="13"/>
        <v>53</v>
      </c>
      <c r="U58" s="75">
        <f>IF(T58&lt;='Input data'!$E$7+'Input data'!$E$45,1,0)*IF(T58&lt;'Input data'!$E$45+1,0,'Input data'!$E$124/'Input data'!$E$11)</f>
        <v>0</v>
      </c>
      <c r="V58" s="71">
        <f>U58/(1+'Input data'!$E$5/100)^(T58-'Input data'!$E$6)*IF(T58&lt;'Input data'!$E$6,0,1)</f>
        <v>0</v>
      </c>
    </row>
    <row r="59" spans="2:22" x14ac:dyDescent="0.25">
      <c r="B59" s="60"/>
      <c r="C59" s="62" t="s">
        <v>120</v>
      </c>
      <c r="D59" s="63">
        <f>SUM(D6:D58)</f>
        <v>11.528758283675661</v>
      </c>
      <c r="E59" s="60"/>
      <c r="F59" s="62" t="s">
        <v>120</v>
      </c>
      <c r="G59" s="63">
        <f>SUM(G6:G58)</f>
        <v>7.2468879108567581</v>
      </c>
      <c r="H59" s="60"/>
      <c r="I59" s="62" t="s">
        <v>120</v>
      </c>
      <c r="J59" s="63">
        <f>SUM(J6:J58)</f>
        <v>12.878582400446016</v>
      </c>
      <c r="K59" s="60"/>
      <c r="L59" s="62" t="s">
        <v>120</v>
      </c>
      <c r="M59" s="63">
        <f>SUM(M6:M58)</f>
        <v>16.246963141396925</v>
      </c>
      <c r="N59" s="60"/>
      <c r="O59" s="62" t="s">
        <v>120</v>
      </c>
      <c r="P59" s="63">
        <f>SUM(P6:P58)</f>
        <v>8.7843158055122945</v>
      </c>
      <c r="Q59" s="60"/>
      <c r="R59" s="62" t="s">
        <v>120</v>
      </c>
      <c r="S59" s="63">
        <f>SUM(S6:S58)</f>
        <v>8.4159935470832323</v>
      </c>
      <c r="T59" s="60"/>
      <c r="U59" s="62" t="s">
        <v>120</v>
      </c>
      <c r="V59" s="63">
        <f>SUM(V6:V58)</f>
        <v>12.022847924404619</v>
      </c>
    </row>
  </sheetData>
  <sheetProtection algorithmName="SHA-512" hashValue="XfYyo8l80aC94JgvU4ik3lF1zHDyR96zOcmG9ZzpEVHvlyiWgrVYadNBo34AbKslnucWpeT+3qCRri0vDkKCLA==" saltValue="As4Hg4stz/wdAZpis1srzw==" spinCount="100000" sheet="1" objects="1" scenarios="1"/>
  <mergeCells count="11">
    <mergeCell ref="E2:V2"/>
    <mergeCell ref="B2:D4"/>
    <mergeCell ref="Q3:V3"/>
    <mergeCell ref="Q4:S4"/>
    <mergeCell ref="T4:V4"/>
    <mergeCell ref="E3:J3"/>
    <mergeCell ref="E4:G4"/>
    <mergeCell ref="H4:J4"/>
    <mergeCell ref="K3:P3"/>
    <mergeCell ref="K4:M4"/>
    <mergeCell ref="N4:P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B3:L48"/>
  <sheetViews>
    <sheetView zoomScaleNormal="100" workbookViewId="0">
      <selection activeCell="C35" sqref="C35"/>
    </sheetView>
  </sheetViews>
  <sheetFormatPr defaultRowHeight="15" x14ac:dyDescent="0.25"/>
  <cols>
    <col min="2" max="2" width="3.28515625" customWidth="1"/>
    <col min="3" max="3" width="41.85546875" bestFit="1" customWidth="1"/>
    <col min="4" max="4" width="13.140625" customWidth="1"/>
    <col min="5" max="5" width="9.85546875" customWidth="1"/>
    <col min="6" max="6" width="13.140625" customWidth="1"/>
    <col min="7" max="7" width="12.7109375" customWidth="1"/>
    <col min="8" max="8" width="10.42578125" customWidth="1"/>
    <col min="9" max="9" width="9.140625" bestFit="1" customWidth="1"/>
    <col min="10" max="10" width="13.28515625" customWidth="1"/>
    <col min="11" max="11" width="15.5703125" customWidth="1"/>
    <col min="12" max="12" width="10.140625" bestFit="1" customWidth="1"/>
  </cols>
  <sheetData>
    <row r="3" spans="2:12" ht="18" x14ac:dyDescent="0.35">
      <c r="B3" s="2" t="s">
        <v>76</v>
      </c>
      <c r="D3" s="201" t="s">
        <v>87</v>
      </c>
      <c r="E3" s="202"/>
      <c r="F3" s="202"/>
      <c r="G3" s="203"/>
      <c r="H3" s="201" t="s">
        <v>38</v>
      </c>
      <c r="I3" s="202"/>
      <c r="J3" s="203"/>
      <c r="K3" s="186" t="s">
        <v>12</v>
      </c>
      <c r="L3" s="186" t="s">
        <v>14</v>
      </c>
    </row>
    <row r="4" spans="2:12" ht="33" x14ac:dyDescent="0.25">
      <c r="C4" s="6"/>
      <c r="D4" s="32" t="s">
        <v>13</v>
      </c>
      <c r="E4" s="33" t="s">
        <v>7</v>
      </c>
      <c r="F4" s="33" t="s">
        <v>8</v>
      </c>
      <c r="G4" s="34" t="s">
        <v>88</v>
      </c>
      <c r="H4" s="32" t="s">
        <v>9</v>
      </c>
      <c r="I4" s="33" t="s">
        <v>10</v>
      </c>
      <c r="J4" s="34" t="s">
        <v>11</v>
      </c>
      <c r="K4" s="187"/>
      <c r="L4" s="188"/>
    </row>
    <row r="5" spans="2:12" x14ac:dyDescent="0.25">
      <c r="C5" s="20" t="s">
        <v>0</v>
      </c>
      <c r="D5" s="110">
        <f>'Input data'!D27</f>
        <v>0</v>
      </c>
      <c r="E5" s="111">
        <f>'Input data'!E27</f>
        <v>33700</v>
      </c>
      <c r="F5" s="111">
        <f>'Input data'!F27</f>
        <v>20700</v>
      </c>
      <c r="G5" s="112">
        <f>'Input data'!G27</f>
        <v>8880</v>
      </c>
      <c r="H5" s="110">
        <f>'Input data'!H27</f>
        <v>44940</v>
      </c>
      <c r="I5" s="111">
        <f>'Input data'!I27</f>
        <v>4440</v>
      </c>
      <c r="J5" s="112">
        <f>'Input data'!J27</f>
        <v>1210</v>
      </c>
      <c r="K5" s="29">
        <f>'Input data'!K27</f>
        <v>44200</v>
      </c>
      <c r="L5" s="29">
        <f>SUM(D5:K5)</f>
        <v>158070</v>
      </c>
    </row>
    <row r="6" spans="2:12" x14ac:dyDescent="0.25">
      <c r="C6" s="21" t="s">
        <v>1</v>
      </c>
      <c r="D6" s="83">
        <f>'Input data'!D28</f>
        <v>0</v>
      </c>
      <c r="E6" s="11">
        <f>'Input data'!E28</f>
        <v>19800</v>
      </c>
      <c r="F6" s="11">
        <f>'Input data'!F28</f>
        <v>12200</v>
      </c>
      <c r="G6" s="22">
        <f>'Input data'!G28</f>
        <v>6400</v>
      </c>
      <c r="H6" s="83">
        <f>'Input data'!H28</f>
        <v>25600</v>
      </c>
      <c r="I6" s="11">
        <f>'Input data'!I28</f>
        <v>3200</v>
      </c>
      <c r="J6" s="22">
        <f>'Input data'!J28</f>
        <v>700</v>
      </c>
      <c r="K6" s="28">
        <f>'Input data'!K28</f>
        <v>54000</v>
      </c>
      <c r="L6" s="28">
        <f>SUM(D6:K6)</f>
        <v>121900</v>
      </c>
    </row>
    <row r="7" spans="2:12" x14ac:dyDescent="0.25">
      <c r="C7" s="30" t="s">
        <v>2</v>
      </c>
      <c r="D7" s="24">
        <f t="shared" ref="D7:K7" si="0">D6+D5</f>
        <v>0</v>
      </c>
      <c r="E7" s="13">
        <f t="shared" si="0"/>
        <v>53500</v>
      </c>
      <c r="F7" s="13">
        <f t="shared" si="0"/>
        <v>32900</v>
      </c>
      <c r="G7" s="25">
        <f t="shared" si="0"/>
        <v>15280</v>
      </c>
      <c r="H7" s="24">
        <f t="shared" si="0"/>
        <v>70540</v>
      </c>
      <c r="I7" s="13">
        <f t="shared" si="0"/>
        <v>7640</v>
      </c>
      <c r="J7" s="25">
        <f t="shared" si="0"/>
        <v>1910</v>
      </c>
      <c r="K7" s="27">
        <f t="shared" si="0"/>
        <v>98200</v>
      </c>
      <c r="L7" s="27">
        <f t="shared" ref="L7:L17" si="1">SUM(D7:K7)</f>
        <v>279970</v>
      </c>
    </row>
    <row r="8" spans="2:12" x14ac:dyDescent="0.25">
      <c r="C8" s="21" t="s">
        <v>3</v>
      </c>
      <c r="D8" s="83">
        <f>'Input data'!D29</f>
        <v>0</v>
      </c>
      <c r="E8" s="11">
        <f>'Input data'!E29</f>
        <v>3000</v>
      </c>
      <c r="F8" s="11">
        <f>'Input data'!F29</f>
        <v>1800</v>
      </c>
      <c r="G8" s="22">
        <f>'Input data'!G29</f>
        <v>1000</v>
      </c>
      <c r="H8" s="83">
        <f>'Input data'!H29</f>
        <v>3800</v>
      </c>
      <c r="I8" s="11">
        <f>'Input data'!I29</f>
        <v>500</v>
      </c>
      <c r="J8" s="22">
        <f>'Input data'!J29</f>
        <v>100</v>
      </c>
      <c r="K8" s="28">
        <f>'Input data'!K29</f>
        <v>2000</v>
      </c>
      <c r="L8" s="28">
        <f>SUM(D8:K8)</f>
        <v>12200</v>
      </c>
    </row>
    <row r="9" spans="2:12" x14ac:dyDescent="0.25">
      <c r="C9" s="21" t="s">
        <v>4</v>
      </c>
      <c r="D9" s="83">
        <f>'Input data'!D30</f>
        <v>0</v>
      </c>
      <c r="E9" s="11">
        <f>'Input data'!E30</f>
        <v>10700</v>
      </c>
      <c r="F9" s="11">
        <f>'Input data'!F30</f>
        <v>6600</v>
      </c>
      <c r="G9" s="22">
        <f>'Input data'!G30</f>
        <v>3100</v>
      </c>
      <c r="H9" s="83">
        <f>'Input data'!H30</f>
        <v>14100</v>
      </c>
      <c r="I9" s="11">
        <f>'Input data'!I30</f>
        <v>1500</v>
      </c>
      <c r="J9" s="22">
        <f>'Input data'!J30</f>
        <v>400</v>
      </c>
      <c r="K9" s="28">
        <f>'Input data'!K30</f>
        <v>19600</v>
      </c>
      <c r="L9" s="28">
        <f>SUM(D9:K9)</f>
        <v>56000</v>
      </c>
    </row>
    <row r="10" spans="2:12" x14ac:dyDescent="0.25">
      <c r="C10" s="30" t="s">
        <v>5</v>
      </c>
      <c r="D10" s="24">
        <f t="shared" ref="D10:K10" si="2">D7+D8+D9</f>
        <v>0</v>
      </c>
      <c r="E10" s="13">
        <f t="shared" si="2"/>
        <v>67200</v>
      </c>
      <c r="F10" s="13">
        <f t="shared" si="2"/>
        <v>41300</v>
      </c>
      <c r="G10" s="25">
        <f t="shared" si="2"/>
        <v>19380</v>
      </c>
      <c r="H10" s="24">
        <f t="shared" si="2"/>
        <v>88440</v>
      </c>
      <c r="I10" s="13">
        <f t="shared" si="2"/>
        <v>9640</v>
      </c>
      <c r="J10" s="25">
        <f t="shared" si="2"/>
        <v>2410</v>
      </c>
      <c r="K10" s="27">
        <f t="shared" si="2"/>
        <v>119800</v>
      </c>
      <c r="L10" s="27">
        <f t="shared" si="1"/>
        <v>348170</v>
      </c>
    </row>
    <row r="11" spans="2:12" x14ac:dyDescent="0.25">
      <c r="C11" s="21" t="s">
        <v>86</v>
      </c>
      <c r="D11" s="26">
        <f>D$10*('Input data'!$E$34/100)</f>
        <v>0</v>
      </c>
      <c r="E11" s="11">
        <f>E$10*('Input data'!$E$34/100)</f>
        <v>10080</v>
      </c>
      <c r="F11" s="11">
        <f>F$10*('Input data'!$E$34/100)</f>
        <v>6195</v>
      </c>
      <c r="G11" s="22">
        <f>G$10*('Input data'!$E$34/100)</f>
        <v>2907</v>
      </c>
      <c r="H11" s="26">
        <f>H$10*('Input data'!$E$34/100)</f>
        <v>13266</v>
      </c>
      <c r="I11" s="11">
        <f>I$10*('Input data'!$E$34/100)</f>
        <v>1446</v>
      </c>
      <c r="J11" s="22">
        <f>J$10*('Input data'!$E$34/100)</f>
        <v>361.5</v>
      </c>
      <c r="K11" s="28">
        <f>K$10*('Input data'!$E$34/100)</f>
        <v>17970</v>
      </c>
      <c r="L11" s="28">
        <f t="shared" si="1"/>
        <v>52225.5</v>
      </c>
    </row>
    <row r="12" spans="2:12" x14ac:dyDescent="0.25">
      <c r="C12" s="30" t="s">
        <v>6</v>
      </c>
      <c r="D12" s="204">
        <f>SUM(D10:G11)</f>
        <v>147062</v>
      </c>
      <c r="E12" s="205"/>
      <c r="F12" s="205"/>
      <c r="G12" s="206"/>
      <c r="H12" s="204">
        <f>SUM(H10:J11)</f>
        <v>115563.5</v>
      </c>
      <c r="I12" s="205"/>
      <c r="J12" s="206"/>
      <c r="K12" s="27">
        <f>K10+K11</f>
        <v>137770</v>
      </c>
      <c r="L12" s="27">
        <f t="shared" si="1"/>
        <v>400395.5</v>
      </c>
    </row>
    <row r="13" spans="2:12" x14ac:dyDescent="0.25">
      <c r="C13" s="21" t="s">
        <v>56</v>
      </c>
      <c r="D13" s="189">
        <f>D12*'Input data'!$H$37/100</f>
        <v>735.31</v>
      </c>
      <c r="E13" s="166"/>
      <c r="F13" s="166"/>
      <c r="G13" s="190"/>
      <c r="H13" s="189">
        <f>H12*'Input data'!$H$37/100</f>
        <v>577.8175</v>
      </c>
      <c r="I13" s="166"/>
      <c r="J13" s="190"/>
      <c r="K13" s="28">
        <f>K12*'Input data'!$H$37/100</f>
        <v>688.85</v>
      </c>
      <c r="L13" s="28">
        <f t="shared" si="1"/>
        <v>2001.9775</v>
      </c>
    </row>
    <row r="14" spans="2:12" x14ac:dyDescent="0.25">
      <c r="C14" s="21" t="s">
        <v>57</v>
      </c>
      <c r="D14" s="189">
        <f>'Input data'!$H$39/12*SUM($D$28:$G$30)+'Input data'!$H$40/100*1/12*$D$27</f>
        <v>395.17525986819419</v>
      </c>
      <c r="E14" s="166"/>
      <c r="F14" s="166"/>
      <c r="G14" s="190"/>
      <c r="H14" s="189">
        <f>'Input data'!$H$39/12*SUM($H$28:$J$30)+'Input data'!$H$40/100*1/12*$H$27</f>
        <v>715.95752616577272</v>
      </c>
      <c r="I14" s="166"/>
      <c r="J14" s="190"/>
      <c r="K14" s="28">
        <f>'Input data'!$H$39/12*SUM($K$28:$K$30)+'Input data'!$H$40/100*1/12*$K$27</f>
        <v>0</v>
      </c>
      <c r="L14" s="28">
        <f t="shared" si="1"/>
        <v>1111.132786033967</v>
      </c>
    </row>
    <row r="15" spans="2:12" x14ac:dyDescent="0.25">
      <c r="C15" s="21" t="s">
        <v>58</v>
      </c>
      <c r="D15" s="189">
        <f>'Input data'!$H$38/12*$D$23+D12*'Input data'!$H$41/100</f>
        <v>3141.24</v>
      </c>
      <c r="E15" s="166"/>
      <c r="F15" s="166"/>
      <c r="G15" s="190"/>
      <c r="H15" s="189">
        <f>'Input data'!$H$38/12*$H$23+H12*'Input data'!$H$41/100</f>
        <v>2511.27</v>
      </c>
      <c r="I15" s="166"/>
      <c r="J15" s="190"/>
      <c r="K15" s="28">
        <f>'Input data'!$H$38/12*$K$23+K12*'Input data'!$H$41/100</f>
        <v>2755.4</v>
      </c>
      <c r="L15" s="28">
        <f t="shared" si="1"/>
        <v>8407.91</v>
      </c>
    </row>
    <row r="16" spans="2:12" x14ac:dyDescent="0.25">
      <c r="C16" s="31" t="s">
        <v>47</v>
      </c>
      <c r="D16" s="189">
        <f>D12*'Input data'!$H$42/100</f>
        <v>10294.34</v>
      </c>
      <c r="E16" s="166">
        <f>E12*'Input data'!$H$42/100</f>
        <v>0</v>
      </c>
      <c r="F16" s="166">
        <f>F12*'Input data'!$H$42/100</f>
        <v>0</v>
      </c>
      <c r="G16" s="190">
        <f>G12*'Input data'!$H$42/100</f>
        <v>0</v>
      </c>
      <c r="H16" s="189">
        <f>H12*'Input data'!$H$42/100</f>
        <v>8089.4449999999997</v>
      </c>
      <c r="I16" s="166">
        <f>I12*'Input data'!$H$42/100</f>
        <v>0</v>
      </c>
      <c r="J16" s="190">
        <f>J12*'Input data'!$H$42/100</f>
        <v>0</v>
      </c>
      <c r="K16" s="28">
        <f>K12*'Input data'!$H$42/100</f>
        <v>9643.9</v>
      </c>
      <c r="L16" s="28">
        <f t="shared" si="1"/>
        <v>28027.684999999998</v>
      </c>
    </row>
    <row r="17" spans="2:12" x14ac:dyDescent="0.25">
      <c r="C17" s="21" t="s">
        <v>33</v>
      </c>
      <c r="D17" s="189">
        <f>D12*('Input data'!$D$48-1)</f>
        <v>23403.799628800018</v>
      </c>
      <c r="E17" s="166">
        <f>E12*('Input data'!$D$48-1)</f>
        <v>0</v>
      </c>
      <c r="F17" s="166">
        <f>F12*('Input data'!$D$48-1)</f>
        <v>0</v>
      </c>
      <c r="G17" s="190">
        <f>G12*('Input data'!$D$48-1)</f>
        <v>0</v>
      </c>
      <c r="H17" s="189">
        <f>H12*('Input data'!$D$48-1)</f>
        <v>18391.052742400014</v>
      </c>
      <c r="I17" s="166">
        <f>I12*('Input data'!$D$48-1)</f>
        <v>0</v>
      </c>
      <c r="J17" s="190">
        <f>J12*('Input data'!$D$48-1)</f>
        <v>0</v>
      </c>
      <c r="K17" s="28">
        <f>K12*('Input data'!$D$48-1)</f>
        <v>21925.048448000016</v>
      </c>
      <c r="L17" s="28">
        <f t="shared" si="1"/>
        <v>63719.900819200047</v>
      </c>
    </row>
    <row r="18" spans="2:12" x14ac:dyDescent="0.25">
      <c r="C18" s="23" t="s">
        <v>15</v>
      </c>
      <c r="D18" s="191">
        <f>SUM(D12:G17)</f>
        <v>185031.86488866821</v>
      </c>
      <c r="E18" s="192"/>
      <c r="F18" s="192"/>
      <c r="G18" s="193"/>
      <c r="H18" s="191">
        <f>SUM(H12:J17)</f>
        <v>145849.04276856579</v>
      </c>
      <c r="I18" s="207"/>
      <c r="J18" s="208"/>
      <c r="K18" s="15">
        <f>SUM(K12:K17)</f>
        <v>172783.19844800001</v>
      </c>
      <c r="L18" s="15">
        <f>SUM(L12:L17)</f>
        <v>503664.10610523395</v>
      </c>
    </row>
    <row r="19" spans="2:12" x14ac:dyDescent="0.25">
      <c r="D19" s="1"/>
      <c r="E19" s="1"/>
      <c r="F19" s="1"/>
      <c r="G19" s="1"/>
      <c r="H19" s="1"/>
      <c r="I19" s="1"/>
      <c r="J19" s="1"/>
      <c r="K19" s="1"/>
      <c r="L19" s="1"/>
    </row>
    <row r="20" spans="2:12" x14ac:dyDescent="0.25">
      <c r="B20" s="2" t="s">
        <v>82</v>
      </c>
      <c r="D20" s="1"/>
      <c r="E20" s="1"/>
      <c r="F20" s="1"/>
      <c r="G20" s="1"/>
      <c r="H20" s="1"/>
      <c r="I20" s="1"/>
      <c r="J20" s="1"/>
      <c r="K20" s="1"/>
      <c r="L20" s="1"/>
    </row>
    <row r="21" spans="2:12" ht="18" x14ac:dyDescent="0.35">
      <c r="D21" s="201" t="s">
        <v>87</v>
      </c>
      <c r="E21" s="202"/>
      <c r="F21" s="202"/>
      <c r="G21" s="203"/>
      <c r="H21" s="201" t="s">
        <v>38</v>
      </c>
      <c r="I21" s="202"/>
      <c r="J21" s="203"/>
      <c r="K21" s="186" t="s">
        <v>12</v>
      </c>
      <c r="L21" s="186" t="s">
        <v>14</v>
      </c>
    </row>
    <row r="22" spans="2:12" ht="33" x14ac:dyDescent="0.25">
      <c r="C22" s="6"/>
      <c r="D22" s="32" t="s">
        <v>13</v>
      </c>
      <c r="E22" s="33" t="s">
        <v>7</v>
      </c>
      <c r="F22" s="33" t="s">
        <v>8</v>
      </c>
      <c r="G22" s="34" t="s">
        <v>88</v>
      </c>
      <c r="H22" s="32" t="s">
        <v>9</v>
      </c>
      <c r="I22" s="33" t="s">
        <v>10</v>
      </c>
      <c r="J22" s="34" t="s">
        <v>11</v>
      </c>
      <c r="K22" s="187"/>
      <c r="L22" s="188"/>
    </row>
    <row r="23" spans="2:12" x14ac:dyDescent="0.25">
      <c r="C23" s="16" t="s">
        <v>39</v>
      </c>
      <c r="D23" s="194">
        <f>'Input data'!$E$54*'Input data'!$F$56/1000</f>
        <v>800</v>
      </c>
      <c r="E23" s="195"/>
      <c r="F23" s="195"/>
      <c r="G23" s="196"/>
      <c r="H23" s="194">
        <f>'Input data'!$G$54*'Input data'!$F$56/1000</f>
        <v>800</v>
      </c>
      <c r="I23" s="195"/>
      <c r="J23" s="196"/>
      <c r="K23" s="19">
        <f>'Input data'!$H$54*'Input data'!$F$56/1000</f>
        <v>0</v>
      </c>
      <c r="L23" s="19">
        <f t="shared" ref="L23:L32" si="3">SUM(D23:K23)</f>
        <v>1600</v>
      </c>
    </row>
    <row r="24" spans="2:12" x14ac:dyDescent="0.25">
      <c r="C24" s="17" t="s">
        <v>40</v>
      </c>
      <c r="D24" s="197">
        <f>(SUM(D10:D11)*'Input data'!$F$59+SUM(E10:G11)*'Input data'!$F$60)/100/('Input data'!$F$66/100)</f>
        <v>4902.0666666666666</v>
      </c>
      <c r="E24" s="144"/>
      <c r="F24" s="144"/>
      <c r="G24" s="198"/>
      <c r="H24" s="197">
        <f>(SUM(H10:H11)*'Input data'!$F$61+SUM(I10:J11)*'Input data'!$F$62)/100/('Input data'!$F$66/100)</f>
        <v>4468.708333333333</v>
      </c>
      <c r="I24" s="144"/>
      <c r="J24" s="198"/>
      <c r="K24" s="14">
        <f>SUM(K10:K11)*'Input data'!$F$63/100/('Input data'!$F$66/100)</f>
        <v>2296.166666666667</v>
      </c>
      <c r="L24" s="14">
        <f t="shared" si="3"/>
        <v>11666.941666666666</v>
      </c>
    </row>
    <row r="25" spans="2:12" x14ac:dyDescent="0.25">
      <c r="C25" s="17" t="s">
        <v>41</v>
      </c>
      <c r="D25" s="197">
        <f>D12*'Input data'!$F$69/100</f>
        <v>735.31</v>
      </c>
      <c r="E25" s="144"/>
      <c r="F25" s="144"/>
      <c r="G25" s="198"/>
      <c r="H25" s="197">
        <f>H12*'Input data'!$F$69/100</f>
        <v>577.8175</v>
      </c>
      <c r="I25" s="144"/>
      <c r="J25" s="198"/>
      <c r="K25" s="14">
        <f>K12*'Input data'!$F$69/100</f>
        <v>688.85</v>
      </c>
      <c r="L25" s="14">
        <f t="shared" si="3"/>
        <v>2001.9775</v>
      </c>
    </row>
    <row r="26" spans="2:12" x14ac:dyDescent="0.25">
      <c r="C26" s="18" t="s">
        <v>17</v>
      </c>
      <c r="D26" s="191">
        <f>SUM(D23:G25)</f>
        <v>6437.376666666667</v>
      </c>
      <c r="E26" s="192"/>
      <c r="F26" s="192"/>
      <c r="G26" s="193"/>
      <c r="H26" s="191">
        <f>SUM(H23:J25)</f>
        <v>5846.5258333333331</v>
      </c>
      <c r="I26" s="192"/>
      <c r="J26" s="193"/>
      <c r="K26" s="15">
        <f>SUM(K23:K25)</f>
        <v>2985.0166666666669</v>
      </c>
      <c r="L26" s="15">
        <f t="shared" si="3"/>
        <v>15268.919166666667</v>
      </c>
    </row>
    <row r="27" spans="2:12" x14ac:dyDescent="0.25">
      <c r="C27" s="16" t="s">
        <v>42</v>
      </c>
      <c r="D27" s="194">
        <v>0</v>
      </c>
      <c r="E27" s="195"/>
      <c r="F27" s="195"/>
      <c r="G27" s="196"/>
      <c r="H27" s="194">
        <f>'Input data'!$G$85*'Input data'!$F$93/1000</f>
        <v>33322.009255957091</v>
      </c>
      <c r="I27" s="195"/>
      <c r="J27" s="196"/>
      <c r="K27" s="19">
        <v>0</v>
      </c>
      <c r="L27" s="19">
        <f t="shared" si="3"/>
        <v>33322.009255957091</v>
      </c>
    </row>
    <row r="28" spans="2:12" x14ac:dyDescent="0.25">
      <c r="C28" s="17" t="s">
        <v>43</v>
      </c>
      <c r="D28" s="197">
        <f>('Input data'!$E$86*'Input data'!$F$94+'Input data'!$E$87*'Input data'!$F$95+'Input data'!$E$88*'Input data'!$F$96)/1000</f>
        <v>3683.7031184183306</v>
      </c>
      <c r="E28" s="144"/>
      <c r="F28" s="144"/>
      <c r="G28" s="198"/>
      <c r="H28" s="197">
        <v>0</v>
      </c>
      <c r="I28" s="144"/>
      <c r="J28" s="198"/>
      <c r="K28" s="14">
        <v>0</v>
      </c>
      <c r="L28" s="14">
        <f t="shared" si="3"/>
        <v>3683.7031184183306</v>
      </c>
    </row>
    <row r="29" spans="2:12" x14ac:dyDescent="0.25">
      <c r="C29" s="17" t="s">
        <v>44</v>
      </c>
      <c r="D29" s="197">
        <v>0</v>
      </c>
      <c r="E29" s="144"/>
      <c r="F29" s="144"/>
      <c r="G29" s="198"/>
      <c r="H29" s="197">
        <f>'Input data'!$G$89*'Input data'!$F$97/1000</f>
        <v>260.98799999999994</v>
      </c>
      <c r="I29" s="144"/>
      <c r="J29" s="198"/>
      <c r="K29" s="14">
        <v>0</v>
      </c>
      <c r="L29" s="14">
        <f t="shared" si="3"/>
        <v>260.98799999999994</v>
      </c>
    </row>
    <row r="30" spans="2:12" x14ac:dyDescent="0.25">
      <c r="C30" s="17" t="s">
        <v>45</v>
      </c>
      <c r="D30" s="197">
        <f>('Input data'!$E$90*'Input data'!$F$98+'Input data'!$E$88*'Input data'!$F$99)/1000</f>
        <v>1058.3999999999999</v>
      </c>
      <c r="E30" s="144"/>
      <c r="F30" s="144"/>
      <c r="G30" s="198"/>
      <c r="H30" s="197">
        <v>0</v>
      </c>
      <c r="I30" s="144"/>
      <c r="J30" s="198"/>
      <c r="K30" s="14">
        <v>0</v>
      </c>
      <c r="L30" s="14">
        <f t="shared" si="3"/>
        <v>1058.3999999999999</v>
      </c>
    </row>
    <row r="31" spans="2:12" x14ac:dyDescent="0.25">
      <c r="C31" s="18" t="s">
        <v>18</v>
      </c>
      <c r="D31" s="191">
        <f>SUM(D27:G30)</f>
        <v>4742.1031184183303</v>
      </c>
      <c r="E31" s="192"/>
      <c r="F31" s="192"/>
      <c r="G31" s="193"/>
      <c r="H31" s="191">
        <f>SUM(H27:J30)</f>
        <v>33582.997255957089</v>
      </c>
      <c r="I31" s="192"/>
      <c r="J31" s="193"/>
      <c r="K31" s="15">
        <f>SUM(K27:K30)</f>
        <v>0</v>
      </c>
      <c r="L31" s="15">
        <f t="shared" si="3"/>
        <v>38325.100374375419</v>
      </c>
    </row>
    <row r="32" spans="2:12" x14ac:dyDescent="0.25">
      <c r="C32" s="18" t="s">
        <v>16</v>
      </c>
      <c r="D32" s="191">
        <f>D31+D26</f>
        <v>11179.479785084997</v>
      </c>
      <c r="E32" s="192"/>
      <c r="F32" s="192"/>
      <c r="G32" s="193"/>
      <c r="H32" s="191">
        <f>H26+H31</f>
        <v>39429.523089290422</v>
      </c>
      <c r="I32" s="192"/>
      <c r="J32" s="193"/>
      <c r="K32" s="15">
        <f>K26+K31</f>
        <v>2985.0166666666669</v>
      </c>
      <c r="L32" s="15">
        <f t="shared" si="3"/>
        <v>53594.019541042093</v>
      </c>
    </row>
    <row r="35" spans="2:12" ht="18" x14ac:dyDescent="0.35">
      <c r="D35" s="201" t="s">
        <v>87</v>
      </c>
      <c r="E35" s="202"/>
      <c r="F35" s="202"/>
      <c r="G35" s="203"/>
      <c r="H35" s="201" t="s">
        <v>38</v>
      </c>
      <c r="I35" s="202"/>
      <c r="J35" s="203"/>
      <c r="K35" s="186" t="s">
        <v>12</v>
      </c>
      <c r="L35" s="186" t="s">
        <v>14</v>
      </c>
    </row>
    <row r="36" spans="2:12" ht="33" x14ac:dyDescent="0.25">
      <c r="C36" t="s">
        <v>92</v>
      </c>
      <c r="D36" s="32" t="s">
        <v>13</v>
      </c>
      <c r="E36" s="33" t="s">
        <v>7</v>
      </c>
      <c r="F36" s="33" t="s">
        <v>8</v>
      </c>
      <c r="G36" s="34" t="s">
        <v>88</v>
      </c>
      <c r="H36" s="32" t="s">
        <v>9</v>
      </c>
      <c r="I36" s="33" t="s">
        <v>10</v>
      </c>
      <c r="J36" s="34" t="s">
        <v>11</v>
      </c>
      <c r="K36" s="187"/>
      <c r="L36" s="188"/>
    </row>
    <row r="37" spans="2:12" x14ac:dyDescent="0.25">
      <c r="C37" s="47" t="s">
        <v>90</v>
      </c>
      <c r="D37" s="199">
        <v>0</v>
      </c>
      <c r="E37" s="200"/>
      <c r="F37" s="200"/>
      <c r="G37" s="200"/>
      <c r="H37" s="199">
        <f>-'Input data'!F106*'Input data'!F107/1000*IF('Input data'!F103="No",0,1)</f>
        <v>0</v>
      </c>
      <c r="I37" s="200"/>
      <c r="J37" s="200"/>
      <c r="K37" s="48">
        <v>0</v>
      </c>
      <c r="L37" s="48">
        <f>SUM(D37:K37)</f>
        <v>0</v>
      </c>
    </row>
    <row r="39" spans="2:12" x14ac:dyDescent="0.25">
      <c r="B39" s="2" t="s">
        <v>83</v>
      </c>
    </row>
    <row r="40" spans="2:12" x14ac:dyDescent="0.25">
      <c r="C40" s="6"/>
      <c r="D40" s="38" t="s">
        <v>37</v>
      </c>
    </row>
    <row r="41" spans="2:12" x14ac:dyDescent="0.25">
      <c r="C41" s="35" t="s">
        <v>19</v>
      </c>
      <c r="D41" s="36">
        <f>$L$18/'Input data'!$E$8</f>
        <v>43687.628252073395</v>
      </c>
    </row>
    <row r="42" spans="2:12" x14ac:dyDescent="0.25">
      <c r="C42" s="21" t="s">
        <v>20</v>
      </c>
      <c r="D42" s="37">
        <f>$L$32</f>
        <v>53594.019541042093</v>
      </c>
    </row>
    <row r="43" spans="2:12" x14ac:dyDescent="0.25">
      <c r="C43" s="21" t="s">
        <v>92</v>
      </c>
      <c r="D43" s="37">
        <f>$L$37</f>
        <v>0</v>
      </c>
    </row>
    <row r="44" spans="2:12" x14ac:dyDescent="0.25">
      <c r="C44" s="23" t="s">
        <v>21</v>
      </c>
      <c r="D44" s="39">
        <f>SUM(D41:D43)</f>
        <v>97281.647793115495</v>
      </c>
    </row>
    <row r="45" spans="2:12" x14ac:dyDescent="0.25">
      <c r="D45" s="3"/>
    </row>
    <row r="46" spans="2:12" x14ac:dyDescent="0.25">
      <c r="D46" s="3"/>
    </row>
    <row r="47" spans="2:12" ht="18" x14ac:dyDescent="0.35">
      <c r="C47" s="12" t="s">
        <v>110</v>
      </c>
      <c r="D47" s="40">
        <f>$D$44/'Input data'!$F$19</f>
        <v>109.78997981315382</v>
      </c>
    </row>
    <row r="48" spans="2:12" ht="18" x14ac:dyDescent="0.35">
      <c r="C48" s="12" t="s">
        <v>102</v>
      </c>
      <c r="D48" s="41">
        <f>$D$44/'Input data'!$F$20</f>
        <v>162.14974131272541</v>
      </c>
    </row>
  </sheetData>
  <sheetProtection algorithmName="SHA-512" hashValue="IJs+9PIyKvzlQYDDoSW6FWNZgJ9BxIkRu2sAwBG6/hzMqyzKjV0Xu3JYCGsZRpqas/9K8WBThBE2GuLn96W2oA==" saltValue="ftKmzV7qRHeDvZwwq5E9jw==" spinCount="100000" sheet="1" objects="1" scenarios="1"/>
  <mergeCells count="48">
    <mergeCell ref="L3:L4"/>
    <mergeCell ref="D21:G21"/>
    <mergeCell ref="H21:J21"/>
    <mergeCell ref="K21:K22"/>
    <mergeCell ref="L21:L22"/>
    <mergeCell ref="D12:G12"/>
    <mergeCell ref="H12:J12"/>
    <mergeCell ref="D17:G17"/>
    <mergeCell ref="H17:J17"/>
    <mergeCell ref="D18:G18"/>
    <mergeCell ref="H18:J18"/>
    <mergeCell ref="D13:G13"/>
    <mergeCell ref="H13:J13"/>
    <mergeCell ref="H14:J14"/>
    <mergeCell ref="D3:G3"/>
    <mergeCell ref="D14:G14"/>
    <mergeCell ref="D15:G15"/>
    <mergeCell ref="H3:J3"/>
    <mergeCell ref="K3:K4"/>
    <mergeCell ref="H30:J30"/>
    <mergeCell ref="D30:G30"/>
    <mergeCell ref="D31:G31"/>
    <mergeCell ref="D27:G27"/>
    <mergeCell ref="D23:G23"/>
    <mergeCell ref="D24:G24"/>
    <mergeCell ref="D25:G25"/>
    <mergeCell ref="D37:G37"/>
    <mergeCell ref="H37:J37"/>
    <mergeCell ref="D35:G35"/>
    <mergeCell ref="H35:J35"/>
    <mergeCell ref="D32:G32"/>
    <mergeCell ref="H32:J32"/>
    <mergeCell ref="K35:K36"/>
    <mergeCell ref="L35:L36"/>
    <mergeCell ref="H15:J15"/>
    <mergeCell ref="D16:G16"/>
    <mergeCell ref="H16:J16"/>
    <mergeCell ref="D26:G26"/>
    <mergeCell ref="H26:J26"/>
    <mergeCell ref="H23:J23"/>
    <mergeCell ref="H24:J24"/>
    <mergeCell ref="H25:J25"/>
    <mergeCell ref="D28:G28"/>
    <mergeCell ref="D29:G29"/>
    <mergeCell ref="H31:J31"/>
    <mergeCell ref="H27:J27"/>
    <mergeCell ref="H28:J28"/>
    <mergeCell ref="H29:J29"/>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B1:H17"/>
  <sheetViews>
    <sheetView zoomScaleNormal="100" workbookViewId="0">
      <selection activeCell="D15" sqref="D15"/>
    </sheetView>
  </sheetViews>
  <sheetFormatPr defaultRowHeight="15" x14ac:dyDescent="0.25"/>
  <cols>
    <col min="2" max="2" width="3.140625" customWidth="1"/>
    <col min="3" max="3" width="22.42578125" customWidth="1"/>
    <col min="4" max="4" width="18.85546875" customWidth="1"/>
  </cols>
  <sheetData>
    <row r="1" spans="2:8" x14ac:dyDescent="0.25">
      <c r="B1" s="7"/>
      <c r="C1" s="7"/>
      <c r="D1" s="6"/>
    </row>
    <row r="2" spans="2:8" ht="28.5" x14ac:dyDescent="0.25">
      <c r="B2" s="96"/>
      <c r="C2" s="96"/>
      <c r="D2" s="97" t="s">
        <v>127</v>
      </c>
    </row>
    <row r="3" spans="2:8" x14ac:dyDescent="0.25">
      <c r="B3" s="209" t="s">
        <v>128</v>
      </c>
      <c r="C3" s="210"/>
      <c r="D3" s="98">
        <f>SUM(D4:D6)</f>
        <v>45.385609933076346</v>
      </c>
      <c r="F3" t="s">
        <v>38</v>
      </c>
      <c r="G3" s="44" t="s">
        <v>108</v>
      </c>
      <c r="H3" s="50">
        <f>D10+D12</f>
        <v>55.541361638572681</v>
      </c>
    </row>
    <row r="4" spans="2:8" x14ac:dyDescent="0.25">
      <c r="B4" s="89"/>
      <c r="C4" s="90" t="s">
        <v>34</v>
      </c>
      <c r="D4" s="91">
        <f>'Detailed cost results'!$D$18/('Input data'!$F$20*'Input data'!$E$8)</f>
        <v>26.751573644777977</v>
      </c>
      <c r="F4" t="s">
        <v>38</v>
      </c>
      <c r="G4" t="str">
        <f>IF('Input data'!F103="Yes",'Summarised cost results'!G3,'Summarised cost results'!C10)</f>
        <v>Natural gas cost</v>
      </c>
      <c r="H4" s="51">
        <f>IF('Input data'!F103="Yes",H3,D10)</f>
        <v>55.541361638572681</v>
      </c>
    </row>
    <row r="5" spans="2:8" x14ac:dyDescent="0.25">
      <c r="B5" s="92"/>
      <c r="C5" s="90" t="s">
        <v>35</v>
      </c>
      <c r="D5" s="91">
        <f>'Detailed cost results'!$D$26/'Input data'!$F$20</f>
        <v>10.729865138103102</v>
      </c>
    </row>
    <row r="6" spans="2:8" x14ac:dyDescent="0.25">
      <c r="B6" s="92"/>
      <c r="C6" s="90" t="s">
        <v>36</v>
      </c>
      <c r="D6" s="91">
        <f>'Detailed cost results'!$D$31/'Input data'!$F$20</f>
        <v>7.9041711501952685</v>
      </c>
    </row>
    <row r="7" spans="2:8" x14ac:dyDescent="0.25">
      <c r="B7" s="212" t="s">
        <v>38</v>
      </c>
      <c r="C7" s="210"/>
      <c r="D7" s="98">
        <f>SUM(D8:D12)</f>
        <v>86.808000884039345</v>
      </c>
    </row>
    <row r="8" spans="2:8" x14ac:dyDescent="0.25">
      <c r="B8" s="89"/>
      <c r="C8" s="90" t="s">
        <v>34</v>
      </c>
      <c r="D8" s="93">
        <f>'Detailed cost results'!$H$18/('Input data'!$F$20*'Input data'!$E$8)</f>
        <v>21.086591820231984</v>
      </c>
    </row>
    <row r="9" spans="2:8" x14ac:dyDescent="0.25">
      <c r="B9" s="94"/>
      <c r="C9" s="90" t="s">
        <v>35</v>
      </c>
      <c r="D9" s="93">
        <f>'Detailed cost results'!$H$26/'Input data'!$F$20</f>
        <v>9.745030773628157</v>
      </c>
    </row>
    <row r="10" spans="2:8" x14ac:dyDescent="0.25">
      <c r="B10" s="94"/>
      <c r="C10" s="90" t="s">
        <v>65</v>
      </c>
      <c r="D10" s="91">
        <f>'Detailed cost results'!$H$27/'Input data'!$F$20</f>
        <v>55.541361638572681</v>
      </c>
    </row>
    <row r="11" spans="2:8" x14ac:dyDescent="0.25">
      <c r="B11" s="94"/>
      <c r="C11" s="90" t="s">
        <v>111</v>
      </c>
      <c r="D11" s="91">
        <f>('Detailed cost results'!$H$31-'Detailed cost results'!$H$27)/'Input data'!$F$20</f>
        <v>0.43501665160651248</v>
      </c>
    </row>
    <row r="12" spans="2:8" x14ac:dyDescent="0.25">
      <c r="B12" s="94"/>
      <c r="C12" s="90" t="s">
        <v>92</v>
      </c>
      <c r="D12" s="91">
        <f>'Detailed cost results'!$H$37/'Input data'!$F$20</f>
        <v>0</v>
      </c>
    </row>
    <row r="13" spans="2:8" x14ac:dyDescent="0.25">
      <c r="B13" s="212" t="s">
        <v>12</v>
      </c>
      <c r="C13" s="210"/>
      <c r="D13" s="99">
        <f>SUM(D14:D16)</f>
        <v>29.956130495609695</v>
      </c>
    </row>
    <row r="14" spans="2:8" x14ac:dyDescent="0.25">
      <c r="B14" s="89"/>
      <c r="C14" s="90" t="s">
        <v>34</v>
      </c>
      <c r="D14" s="95">
        <f>'Detailed cost results'!$K$18/('Input data'!$F$20*'Input data'!$E$8)</f>
        <v>24.980683519798628</v>
      </c>
    </row>
    <row r="15" spans="2:8" x14ac:dyDescent="0.25">
      <c r="B15" s="94"/>
      <c r="C15" s="90" t="s">
        <v>35</v>
      </c>
      <c r="D15" s="95">
        <f>'Detailed cost results'!$K$26/'Input data'!$F$20</f>
        <v>4.9754469758110673</v>
      </c>
    </row>
    <row r="16" spans="2:8" x14ac:dyDescent="0.25">
      <c r="B16" s="94"/>
      <c r="C16" s="90" t="s">
        <v>36</v>
      </c>
      <c r="D16" s="95">
        <f>'Detailed cost results'!$K$31/'Input data'!$F$20</f>
        <v>0</v>
      </c>
    </row>
    <row r="17" spans="2:4" x14ac:dyDescent="0.25">
      <c r="B17" s="211" t="s">
        <v>37</v>
      </c>
      <c r="C17" s="211"/>
      <c r="D17" s="100">
        <f>D13+D7+D3</f>
        <v>162.14974131272538</v>
      </c>
    </row>
  </sheetData>
  <sheetProtection algorithmName="SHA-512" hashValue="ngURc92pc4mlvrxVawLsdAhW7/foHaTU//oRT7BGnPkLTEvfQtfx3JtX5erILUJAVEk5SAPqQ3yWSVk6JzbSjQ==" saltValue="gKY1HkoQtg780fOCQHTJ1A==" spinCount="100000" sheet="1" scenarios="1"/>
  <mergeCells count="4">
    <mergeCell ref="B3:C3"/>
    <mergeCell ref="B17:C17"/>
    <mergeCell ref="B13:C13"/>
    <mergeCell ref="B7:C7"/>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B1:K20"/>
  <sheetViews>
    <sheetView zoomScaleNormal="100" workbookViewId="0">
      <selection activeCell="I34" sqref="I34"/>
    </sheetView>
  </sheetViews>
  <sheetFormatPr defaultRowHeight="15" x14ac:dyDescent="0.25"/>
  <cols>
    <col min="3" max="3" width="42.140625" bestFit="1" customWidth="1"/>
    <col min="4" max="5" width="10.7109375" hidden="1" customWidth="1"/>
    <col min="6" max="7" width="15.7109375" customWidth="1"/>
    <col min="8" max="9" width="10.7109375" customWidth="1"/>
    <col min="10" max="10" width="10.5703125" customWidth="1"/>
  </cols>
  <sheetData>
    <row r="1" spans="2:11" ht="18" x14ac:dyDescent="0.35">
      <c r="B1" s="2" t="s">
        <v>125</v>
      </c>
    </row>
    <row r="2" spans="2:11" x14ac:dyDescent="0.25">
      <c r="B2" s="2"/>
    </row>
    <row r="3" spans="2:11" ht="18" x14ac:dyDescent="0.35">
      <c r="B3" s="2"/>
      <c r="D3" s="214" t="s">
        <v>121</v>
      </c>
      <c r="E3" s="215"/>
      <c r="F3" s="195" t="s">
        <v>122</v>
      </c>
      <c r="G3" s="213"/>
      <c r="H3" s="195" t="s">
        <v>126</v>
      </c>
      <c r="I3" s="213"/>
      <c r="J3" s="216" t="s">
        <v>160</v>
      </c>
      <c r="K3" s="214" t="s">
        <v>158</v>
      </c>
    </row>
    <row r="4" spans="2:11" x14ac:dyDescent="0.25">
      <c r="D4" s="5" t="s">
        <v>123</v>
      </c>
      <c r="E4" s="5" t="s">
        <v>124</v>
      </c>
      <c r="F4" s="5" t="s">
        <v>123</v>
      </c>
      <c r="G4" s="5" t="s">
        <v>124</v>
      </c>
      <c r="H4" s="5" t="s">
        <v>123</v>
      </c>
      <c r="I4" s="5" t="s">
        <v>124</v>
      </c>
      <c r="J4" s="217"/>
      <c r="K4" s="218"/>
    </row>
    <row r="5" spans="2:11" x14ac:dyDescent="0.25">
      <c r="C5" s="42" t="s">
        <v>34</v>
      </c>
      <c r="D5" s="53">
        <f>'Input data'!$D$112</f>
        <v>-0.15</v>
      </c>
      <c r="E5" s="53">
        <f>'Input data'!$E$112</f>
        <v>0.35</v>
      </c>
      <c r="F5" s="54">
        <f>$D$5*('Summarised cost results'!$D$4+'Summarised cost results'!$D$8+'Summarised cost results'!$D$14)+'Summarised cost results'!$D$17</f>
        <v>151.22691396500409</v>
      </c>
      <c r="G5" s="54">
        <f>$E$5*('Summarised cost results'!$D$4+'Summarised cost results'!$D$8+'Summarised cost results'!$D$14)+'Summarised cost results'!$D$17</f>
        <v>187.63633845740839</v>
      </c>
      <c r="H5" s="86">
        <f>(MIN(F5:G5)-'Summarised cost results'!$D$17)/'Summarised cost results'!$D$17</f>
        <v>-6.7362594964954656E-2</v>
      </c>
      <c r="I5" s="86">
        <f>(MAX(F5:G5)-'Summarised cost results'!$D$17)/'Summarised cost results'!$D$17</f>
        <v>0.15717938825156075</v>
      </c>
      <c r="J5" s="43">
        <f>MIN(F5:G5)</f>
        <v>151.22691396500409</v>
      </c>
      <c r="K5" s="59">
        <f>MAX(F5:G5)-MIN(F5:G5)</f>
        <v>36.409424492404298</v>
      </c>
    </row>
    <row r="6" spans="2:11" x14ac:dyDescent="0.25">
      <c r="C6" s="9" t="s">
        <v>35</v>
      </c>
      <c r="D6" s="55">
        <f>'Input data'!$D$113</f>
        <v>-0.2</v>
      </c>
      <c r="E6" s="55">
        <f>'Input data'!$E$113</f>
        <v>0.2</v>
      </c>
      <c r="F6" s="56">
        <f>$D$6*('Summarised cost results'!$D$5+'Summarised cost results'!$D$9+'Summarised cost results'!$D$15)+'Summarised cost results'!$D$17</f>
        <v>157.05967273521691</v>
      </c>
      <c r="G6" s="56">
        <f>$E$6*('Summarised cost results'!$D$5+'Summarised cost results'!$D$9+'Summarised cost results'!$D$15)+'Summarised cost results'!$D$17</f>
        <v>167.23980989023386</v>
      </c>
      <c r="H6" s="87">
        <f>(MIN(F6:G6)-'Summarised cost results'!$D$17)/'Summarised cost results'!$D$17</f>
        <v>-3.1391160641395431E-2</v>
      </c>
      <c r="I6" s="87">
        <f>(MAX(F6:G6)-'Summarised cost results'!$D$17)/'Summarised cost results'!$D$17</f>
        <v>3.1391160641395431E-2</v>
      </c>
      <c r="J6" s="43">
        <f>MIN(F6:G6)</f>
        <v>157.05967273521691</v>
      </c>
      <c r="K6" s="59">
        <f>MAX(F6:G6)-MIN(F6:G6)</f>
        <v>10.180137155016951</v>
      </c>
    </row>
    <row r="7" spans="2:11" x14ac:dyDescent="0.25">
      <c r="C7" s="9" t="s">
        <v>65</v>
      </c>
      <c r="D7" s="55">
        <f>'Input data'!$D$114</f>
        <v>-0.3</v>
      </c>
      <c r="E7" s="55">
        <f>'Input data'!$E$114</f>
        <v>0.3</v>
      </c>
      <c r="F7" s="56">
        <f>$D$7*'Detailed cost results'!$L$27/'Input data'!$F$20+'Summarised cost results'!$D$17</f>
        <v>145.48733282115359</v>
      </c>
      <c r="G7" s="56">
        <f>$E$7*'Detailed cost results'!$L$27/'Input data'!$F$20+'Summarised cost results'!$D$17</f>
        <v>178.81214980429718</v>
      </c>
      <c r="H7" s="87">
        <f>(MIN(F7:G7)-'Summarised cost results'!$D$17)/'Summarised cost results'!$D$17</f>
        <v>-0.10275938991130629</v>
      </c>
      <c r="I7" s="87">
        <f>(MAX(F7:G7)-'Summarised cost results'!$D$17)/'Summarised cost results'!$D$17</f>
        <v>0.10275938991130629</v>
      </c>
      <c r="J7" s="43">
        <f t="shared" ref="J7:J16" si="0">MIN(F7:G7)</f>
        <v>145.48733282115359</v>
      </c>
      <c r="K7" s="59">
        <f>MAX(F7:G7)-MIN(F7:G7)</f>
        <v>33.324816983143592</v>
      </c>
    </row>
    <row r="8" spans="2:11" x14ac:dyDescent="0.25">
      <c r="C8" s="45" t="s">
        <v>112</v>
      </c>
      <c r="D8" s="57">
        <f>'Input data'!$D$113</f>
        <v>-0.2</v>
      </c>
      <c r="E8" s="57">
        <f>'Input data'!$E$113</f>
        <v>0.2</v>
      </c>
      <c r="F8" s="58">
        <f>$D$8*('Summarised cost results'!$D$6+'Summarised cost results'!$D$11+'Summarised cost results'!$D$16)+'Summarised cost results'!$D$17</f>
        <v>160.48190375236501</v>
      </c>
      <c r="G8" s="58">
        <f>$E$8*('Summarised cost results'!$D$6+'Summarised cost results'!$D$11+'Summarised cost results'!$D$16)+'Summarised cost results'!$D$17</f>
        <v>163.81757887308575</v>
      </c>
      <c r="H8" s="88">
        <f>(MIN(F8:G8)-'Summarised cost results'!$D$17)/'Summarised cost results'!$D$17</f>
        <v>-1.0285786131127659E-2</v>
      </c>
      <c r="I8" s="88">
        <f>(MAX(F8:G8)-'Summarised cost results'!$D$17)/'Summarised cost results'!$D$17</f>
        <v>1.0285786131127659E-2</v>
      </c>
      <c r="J8" s="43">
        <f t="shared" si="0"/>
        <v>160.48190375236501</v>
      </c>
      <c r="K8" s="59">
        <f t="shared" ref="K8:K16" si="1">MAX(F8:G8)-MIN(F8:G8)</f>
        <v>3.3356751207207367</v>
      </c>
    </row>
    <row r="9" spans="2:11" ht="18" x14ac:dyDescent="0.25">
      <c r="C9" s="10" t="s">
        <v>109</v>
      </c>
      <c r="D9" s="55">
        <f>'Input data'!$D$115</f>
        <v>-0.3</v>
      </c>
      <c r="E9" s="55">
        <f>'Input data'!$E$115</f>
        <v>0.3</v>
      </c>
      <c r="F9" s="59">
        <f>$D$9*'Summarised cost results'!$D3+'Summarised cost results'!$D$17</f>
        <v>148.53405833280249</v>
      </c>
      <c r="G9" s="59">
        <f>$E$9*'Summarised cost results'!$D3+'Summarised cost results'!$D$17</f>
        <v>175.76542429264828</v>
      </c>
      <c r="H9" s="85">
        <f>(MIN(F9:G9)-'Summarised cost results'!$D$17)/'Summarised cost results'!$D$17</f>
        <v>-8.3969810063794073E-2</v>
      </c>
      <c r="I9" s="85">
        <f>(MAX(F9:G9)-'Summarised cost results'!$D$17)/'Summarised cost results'!$D$17</f>
        <v>8.3969810063794073E-2</v>
      </c>
      <c r="J9" s="121">
        <f t="shared" si="0"/>
        <v>148.53405833280249</v>
      </c>
      <c r="K9" s="54">
        <f t="shared" si="1"/>
        <v>27.231365959845789</v>
      </c>
    </row>
    <row r="10" spans="2:11" x14ac:dyDescent="0.25">
      <c r="C10" s="10" t="s">
        <v>38</v>
      </c>
      <c r="D10" s="55">
        <f>'Input data'!$D$116</f>
        <v>-0.3</v>
      </c>
      <c r="E10" s="55">
        <f>'Input data'!$E$116</f>
        <v>0.3</v>
      </c>
      <c r="F10" s="59">
        <f>$D$10*'Summarised cost results'!$D7+'Summarised cost results'!$D$17</f>
        <v>136.10734104751359</v>
      </c>
      <c r="G10" s="59">
        <f>$E$10*'Summarised cost results'!$D7+'Summarised cost results'!$D$17</f>
        <v>188.19214157793718</v>
      </c>
      <c r="H10" s="85">
        <f>(MIN(F10:G10)-'Summarised cost results'!$D$17)/'Summarised cost results'!$D$17</f>
        <v>-0.16060710337481129</v>
      </c>
      <c r="I10" s="85">
        <f>(MAX(F10:G10)-'Summarised cost results'!$D$17)/'Summarised cost results'!$D$17</f>
        <v>0.16060710337481129</v>
      </c>
      <c r="J10" s="43">
        <f t="shared" si="0"/>
        <v>136.10734104751359</v>
      </c>
      <c r="K10" s="56">
        <f t="shared" si="1"/>
        <v>52.084800530423593</v>
      </c>
    </row>
    <row r="11" spans="2:11" x14ac:dyDescent="0.25">
      <c r="C11" s="9" t="s">
        <v>12</v>
      </c>
      <c r="D11" s="55">
        <f>'Input data'!$D$117</f>
        <v>-0.3</v>
      </c>
      <c r="E11" s="55">
        <f>'Input data'!$E$117</f>
        <v>0.3</v>
      </c>
      <c r="F11" s="56">
        <f>$D$11*'Summarised cost results'!$D$13+'Summarised cost results'!$D$17</f>
        <v>153.16290216404246</v>
      </c>
      <c r="G11" s="56">
        <f>$E$11*'Summarised cost results'!$D13+'Summarised cost results'!$D$17</f>
        <v>171.1365804614083</v>
      </c>
      <c r="H11" s="85">
        <f>(MIN(F11:G11)-'Summarised cost results'!$D$17)/'Summarised cost results'!$D$17</f>
        <v>-5.542308656139458E-2</v>
      </c>
      <c r="I11" s="85">
        <f>(MAX(F11:G11)-'Summarised cost results'!$D$17)/'Summarised cost results'!$D$17</f>
        <v>5.542308656139458E-2</v>
      </c>
      <c r="J11" s="122">
        <f>MIN(F11:G11)</f>
        <v>153.16290216404246</v>
      </c>
      <c r="K11" s="58">
        <f>MAX(F11:G11)-MIN(F11:G11)</f>
        <v>17.973678297365836</v>
      </c>
    </row>
    <row r="12" spans="2:11" x14ac:dyDescent="0.25">
      <c r="C12" s="42" t="s">
        <v>157</v>
      </c>
      <c r="D12" s="53">
        <f>'Input data'!$D$118</f>
        <v>-0.33</v>
      </c>
      <c r="E12" s="53">
        <f>'Input data'!$E$118</f>
        <v>0</v>
      </c>
      <c r="F12" s="54">
        <f>'Summarised cost results'!$D$17+'Sensitivity analyses'!$D$12*('Summarised cost results'!$D$8+'Summarised cost results'!$D$9)*'Detailed cost results'!$H$10/SUM('Detailed cost results'!$H$10:$J$10)</f>
        <v>153.19534712697231</v>
      </c>
      <c r="G12" s="54">
        <f>'Summarised cost results'!$D$17+'Sensitivity analyses'!$E$12*('Summarised cost results'!$D$8+'Summarised cost results'!$D$9)*'Detailed cost results'!$H$10/SUM('Detailed cost results'!$H$10:$J$10)</f>
        <v>162.14974131272538</v>
      </c>
      <c r="H12" s="86">
        <f>(MIN(F12:G12)-'Summarised cost results'!$D$17)/'Summarised cost results'!$D$17</f>
        <v>-5.522299396385371E-2</v>
      </c>
      <c r="I12" s="86">
        <f>(MAX(F12:G12)-'Summarised cost results'!$D$17)/'Summarised cost results'!$D$17</f>
        <v>0</v>
      </c>
      <c r="J12" s="43">
        <f t="shared" si="0"/>
        <v>153.19534712697231</v>
      </c>
      <c r="K12" s="59">
        <f t="shared" si="1"/>
        <v>8.954394185753074</v>
      </c>
    </row>
    <row r="13" spans="2:11" x14ac:dyDescent="0.25">
      <c r="C13" s="45" t="s">
        <v>156</v>
      </c>
      <c r="D13" s="57">
        <f>'Input data'!$D$119</f>
        <v>-0.3</v>
      </c>
      <c r="E13" s="57">
        <f>'Input data'!$E$119</f>
        <v>0</v>
      </c>
      <c r="F13" s="58">
        <f>($D$13*'Detailed cost results'!$L$27/'Input data'!$F$20*'Input data'!$I$81+'Summarised cost results'!$D$17)/(('Input data'!F20)/('Input data'!F20+('Input data'!F19-'Input data'!F20)*'Sensitivity analyses'!D13))</f>
        <v>129.02405510960799</v>
      </c>
      <c r="G13" s="58">
        <f>($E$13*'Detailed cost results'!$L$27/'Input data'!$F$20*'Input data'!I81+'Summarised cost results'!$D$17)/(('Input data'!F20)/('Input data'!F20+('Input data'!F19-'Input data'!F20)*'Sensitivity analyses'!E13))</f>
        <v>162.14974131272538</v>
      </c>
      <c r="H13" s="88">
        <f>(MIN(F13:G13)-'Summarised cost results'!$D$17)/'Summarised cost results'!$D$17</f>
        <v>-0.20429071261501741</v>
      </c>
      <c r="I13" s="88">
        <f>(MAX(F13:G13)-'Summarised cost results'!$D$17)/'Summarised cost results'!$D$17</f>
        <v>0</v>
      </c>
      <c r="J13" s="43">
        <f t="shared" si="0"/>
        <v>129.02405510960799</v>
      </c>
      <c r="K13" s="59">
        <f t="shared" si="1"/>
        <v>33.125686203117397</v>
      </c>
    </row>
    <row r="14" spans="2:11" x14ac:dyDescent="0.25">
      <c r="C14" s="42" t="s">
        <v>113</v>
      </c>
      <c r="D14" s="53">
        <f>'Input data'!$D$122/'Input data'!$E$7-1</f>
        <v>-0.6</v>
      </c>
      <c r="E14" s="53">
        <f>'Input data'!$E$122/'Input data'!$E$7-1</f>
        <v>0.60000000000000009</v>
      </c>
      <c r="F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factors'!$G$59</f>
        <v>205.17522699516687</v>
      </c>
      <c r="G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factors'!$J$59</f>
        <v>154.5174852569852</v>
      </c>
      <c r="H14" s="86">
        <f>(MIN(F14:G14)-'Summarised cost results'!$D$17)/'Summarised cost results'!$D$17</f>
        <v>-4.7069184285779754E-2</v>
      </c>
      <c r="I14" s="86">
        <f>(MAX(F14:G14)-'Summarised cost results'!$D$17)/'Summarised cost results'!$D$17</f>
        <v>0.26534415247361776</v>
      </c>
      <c r="J14" s="121">
        <f t="shared" si="0"/>
        <v>154.5174852569852</v>
      </c>
      <c r="K14" s="54">
        <f t="shared" si="1"/>
        <v>50.65774173818167</v>
      </c>
    </row>
    <row r="15" spans="2:11" x14ac:dyDescent="0.25">
      <c r="C15" s="9" t="s">
        <v>26</v>
      </c>
      <c r="D15" s="55">
        <f>'Input data'!$D$123/'Input data'!$E$5-1</f>
        <v>-0.5</v>
      </c>
      <c r="E15" s="55">
        <f>'Input data'!$E$123/'Input data'!$E$5-1</f>
        <v>0.5</v>
      </c>
      <c r="F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factors'!$M$59</f>
        <v>141.00275870288766</v>
      </c>
      <c r="G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factors'!P59</f>
        <v>184.90019186454467</v>
      </c>
      <c r="H15" s="87">
        <f>(MIN(F15:G15)-'Summarised cost results'!$D$17)/'Summarised cost results'!$D$17</f>
        <v>-0.13041638203451222</v>
      </c>
      <c r="I15" s="87">
        <f>(MAX(F15:G15)-'Summarised cost results'!$D$17)/'Summarised cost results'!$D$17</f>
        <v>0.14030519177913636</v>
      </c>
      <c r="J15" s="43">
        <f t="shared" si="0"/>
        <v>141.00275870288766</v>
      </c>
      <c r="K15" s="56">
        <f t="shared" si="1"/>
        <v>43.897433161657005</v>
      </c>
    </row>
    <row r="16" spans="2:11" ht="15" customHeight="1" x14ac:dyDescent="0.25">
      <c r="C16" s="45" t="s">
        <v>114</v>
      </c>
      <c r="D16" s="57">
        <f>'Input data'!$D$124/'Input data'!$E$11-1</f>
        <v>-0.26999999999999991</v>
      </c>
      <c r="E16" s="57">
        <f>'Input data'!$E$124/'Input data'!$E$11-1</f>
        <v>4.2857142857142927E-2</v>
      </c>
      <c r="F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factors'!$S$59</f>
        <v>189.08274025231213</v>
      </c>
      <c r="G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factors'!$V$59</f>
        <v>159.1571858749935</v>
      </c>
      <c r="H16" s="88">
        <f>(MIN(F16:G16)-'Summarised cost results'!$D$17)/'Summarised cost results'!$D$17</f>
        <v>-1.8455505469850707E-2</v>
      </c>
      <c r="I16" s="88">
        <f>(MAX(F16:G16)-'Summarised cost results'!$D$17)/'Summarised cost results'!$D$17</f>
        <v>0.1660995492286553</v>
      </c>
      <c r="J16" s="122">
        <f t="shared" si="0"/>
        <v>159.1571858749935</v>
      </c>
      <c r="K16" s="58">
        <f t="shared" si="1"/>
        <v>29.925554377318633</v>
      </c>
    </row>
    <row r="19" spans="6:7" x14ac:dyDescent="0.25">
      <c r="F19" s="119"/>
      <c r="G19" s="119"/>
    </row>
    <row r="20" spans="6:7" x14ac:dyDescent="0.25">
      <c r="F20" s="119"/>
      <c r="G20" s="119"/>
    </row>
  </sheetData>
  <sheetProtection algorithmName="SHA-512" hashValue="THX/OshPVA+rBBJBQ7Rs0wTf2iRvzsPbjpOvYDzfs3Jn2T9jTRL+3UiLUvrYsLr0opcBT6BAql5IRF18j0BYvA==" saltValue="hdEyn0yixp1DLoCmw1K14g==" spinCount="100000" sheet="1" scenarios="1"/>
  <mergeCells count="5">
    <mergeCell ref="F3:G3"/>
    <mergeCell ref="D3:E3"/>
    <mergeCell ref="H3:I3"/>
    <mergeCell ref="J3:J4"/>
    <mergeCell ref="K3:K4"/>
  </mergeCells>
  <pageMargins left="0.7" right="0.7" top="0.75" bottom="0.75" header="0.3" footer="0.3"/>
  <pageSetup paperSize="9" orientation="portrait" horizontalDpi="1200" verticalDpi="1200" r:id="rId1"/>
  <ignoredErrors>
    <ignoredError sqref="D7:E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Presentation - instructions</vt:lpstr>
      <vt:lpstr>Input data</vt:lpstr>
      <vt:lpstr>Discount factors</vt:lpstr>
      <vt:lpstr>Detailed cost results</vt:lpstr>
      <vt:lpstr>Summarised cost results</vt:lpstr>
      <vt:lpstr>Sensitivity analyses</vt:lpstr>
      <vt:lpstr>List</vt:lpstr>
      <vt:lpstr>Number_of_years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2017-08-30T11:36:27Z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-2051762581</vt:i4>
  </property>
  <property fmtid="{D5CDD505-2E9C-101B-9397-08002B2CF9AE}" pid="3" name="_NewReviewCycle">
    <vt:lpwstr/>
  </property>
  <property fmtid="{D5CDD505-2E9C-101B-9397-08002B2CF9AE}" pid="4" name="_PreviousAdHocReviewCycleID">
    <vt:i4>-1957454934</vt:i4>
  </property>
  <property fmtid="{D5CDD505-2E9C-101B-9397-08002B2CF9AE}" pid="5" name="_ReviewingToolsShownOnce">
    <vt:lpwstr/>
  </property>
</Properties>
</file>