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88"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H24" i="1" s="1"/>
  <c r="K11" i="1"/>
  <c r="K12" i="1" s="1"/>
  <c r="K25" i="1" s="1"/>
  <c r="L31" i="1"/>
  <c r="F17" i="1"/>
  <c r="G17" i="1"/>
  <c r="I17" i="1"/>
  <c r="J17" i="1"/>
  <c r="E17" i="1"/>
  <c r="B9" i="3"/>
  <c r="L7" i="1"/>
  <c r="D10" i="1"/>
  <c r="O22" i="3" l="1"/>
  <c r="P22" i="3" s="1"/>
  <c r="N23" i="3"/>
  <c r="D11" i="1"/>
  <c r="D24" i="1"/>
  <c r="K24" i="1"/>
  <c r="T23" i="3"/>
  <c r="U23" i="3" s="1"/>
  <c r="V23" i="3" s="1"/>
  <c r="Q23" i="3"/>
  <c r="R23" i="3" s="1"/>
  <c r="S23" i="3" s="1"/>
  <c r="H23" i="3"/>
  <c r="I23" i="3" s="1"/>
  <c r="J23" i="3" s="1"/>
  <c r="K24" i="3"/>
  <c r="L24" i="3" s="1"/>
  <c r="M24" i="3" s="1"/>
  <c r="E24" i="3"/>
  <c r="F24" i="3" s="1"/>
  <c r="G24" i="3" s="1"/>
  <c r="K26" i="1"/>
  <c r="D15" i="4"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<sst xmlns="http://schemas.openxmlformats.org/spreadsheetml/2006/main" count="341" uniqueCount="167">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</sst>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2" fontId="4" fillId="3" borderId="0" xfId="2" applyNumberFormat="1" applyBorder="1" applyAlignment="1" applyProtection="1">
      <alignment horizont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protection locked="0"/>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12.576748447827303</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2.5049332609607999</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17.628904482175074</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7.4536953330113374</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0.50363665912153899</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58.630788793511059</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38.959264930341313</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14.566841767365895</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8.3347452811621849</c:v>
                </c:pt>
              </c:numCache>
            </c:numRef>
          </c:val>
        </c:ser>
        <c:dLbls>
          <c:showLegendKey val="0"/>
          <c:showVal val="0"/>
          <c:showCatName val="0"/>
          <c:showSerName val="0"/>
          <c:showPercent val="0"/>
          <c:showBubbleSize val="0"/>
        </c:dLbls>
        <c:gapWidth val="150"/>
        <c:overlap val="100"/>
        <c:axId val="616092352"/>
        <c:axId val="616091176"/>
      </c:barChart>
      <c:catAx>
        <c:axId val="6160923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91176"/>
        <c:crosses val="autoZero"/>
        <c:auto val="1"/>
        <c:lblAlgn val="ctr"/>
        <c:lblOffset val="100"/>
        <c:noMultiLvlLbl val="0"/>
      </c:catAx>
      <c:valAx>
        <c:axId val="6160911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92352"/>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15.081681708788103</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84.217025267819011</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61.860851978869391</c:v>
                </c:pt>
              </c:numCache>
            </c:numRef>
          </c:val>
        </c:ser>
        <c:dLbls>
          <c:showLegendKey val="0"/>
          <c:showVal val="0"/>
          <c:showCatName val="0"/>
          <c:showSerName val="0"/>
          <c:showPercent val="0"/>
          <c:showBubbleSize val="0"/>
        </c:dLbls>
        <c:gapWidth val="150"/>
        <c:overlap val="100"/>
        <c:axId val="616088824"/>
        <c:axId val="616089216"/>
      </c:barChart>
      <c:catAx>
        <c:axId val="6160888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89216"/>
        <c:crosses val="autoZero"/>
        <c:auto val="1"/>
        <c:lblAlgn val="ctr"/>
        <c:lblOffset val="100"/>
        <c:noMultiLvlLbl val="0"/>
      </c:catAx>
      <c:valAx>
        <c:axId val="6160892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616088824"/>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150.78482127642496</c:v>
                </c:pt>
                <c:pt idx="1">
                  <c:v>156.2544648832089</c:v>
                </c:pt>
                <c:pt idx="2">
                  <c:v>143.57032231742321</c:v>
                </c:pt>
                <c:pt idx="3">
                  <c:v>159.39188256741977</c:v>
                </c:pt>
                <c:pt idx="4">
                  <c:v>142.6013033618157</c:v>
                </c:pt>
                <c:pt idx="5">
                  <c:v>135.89445137513081</c:v>
                </c:pt>
                <c:pt idx="6">
                  <c:v>156.63505444284007</c:v>
                </c:pt>
                <c:pt idx="7">
                  <c:v>153.89206629609842</c:v>
                </c:pt>
                <c:pt idx="8">
                  <c:v>126.5538600344982</c:v>
                </c:pt>
                <c:pt idx="9">
                  <c:v>153.91027706563906</c:v>
                </c:pt>
                <c:pt idx="10">
                  <c:v>141.07369745677752</c:v>
                </c:pt>
                <c:pt idx="11">
                  <c:v>158.31716507080483</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34.582458930171839</c:v>
                </c:pt>
                <c:pt idx="1">
                  <c:v>9.8101881445352319</c:v>
                </c:pt>
                <c:pt idx="2">
                  <c:v>35.178473276106615</c:v>
                </c:pt>
                <c:pt idx="3">
                  <c:v>3.5353527761134842</c:v>
                </c:pt>
                <c:pt idx="4">
                  <c:v>37.116511187321635</c:v>
                </c:pt>
                <c:pt idx="5">
                  <c:v>50.530215160691398</c:v>
                </c:pt>
                <c:pt idx="6">
                  <c:v>9.0490090252728805</c:v>
                </c:pt>
                <c:pt idx="7">
                  <c:v>7.2674926593780924</c:v>
                </c:pt>
                <c:pt idx="8">
                  <c:v>34.605698920978313</c:v>
                </c:pt>
                <c:pt idx="9">
                  <c:v>48.115818845787942</c:v>
                </c:pt>
                <c:pt idx="10">
                  <c:v>41.694731532207214</c:v>
                </c:pt>
                <c:pt idx="11">
                  <c:v>28.423938846716595</c:v>
                </c:pt>
              </c:numCache>
            </c:numRef>
          </c:val>
        </c:ser>
        <c:dLbls>
          <c:showLegendKey val="0"/>
          <c:showVal val="0"/>
          <c:showCatName val="0"/>
          <c:showSerName val="0"/>
          <c:showPercent val="0"/>
          <c:showBubbleSize val="0"/>
        </c:dLbls>
        <c:gapWidth val="55"/>
        <c:overlap val="100"/>
        <c:axId val="616090000"/>
        <c:axId val="616091568"/>
      </c:barChart>
      <c:catAx>
        <c:axId val="616090000"/>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616091568"/>
        <c:crosses val="autoZero"/>
        <c:auto val="1"/>
        <c:lblAlgn val="ctr"/>
        <c:lblOffset val="100"/>
        <c:noMultiLvlLbl val="0"/>
      </c:catAx>
      <c:valAx>
        <c:axId val="616091568"/>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6090000"/>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2" name="Picture 1"/>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9" name="Picture 8"/>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zoomScaleNormal="100" workbookViewId="0">
      <selection activeCell="A5" sqref="A5"/>
    </sheetView>
  </sheetViews>
  <sheetFormatPr defaultColWidth="8.85546875" defaultRowHeight="15" x14ac:dyDescent="0.25"/>
  <sheetData>
    <row r="11" spans="5:5" x14ac:dyDescent="0.25">
      <c r="E11" s="113"/>
    </row>
  </sheetData>
  <sheetProtection algorithmName="SHA-512" hashValue="RtLjI1nw7z2c7IUvInqo+lkxVVR4xWjE7V/Es8zDMy6xzUHreEYvgYjBF0HgG88S7iHu80WFXDn9sA8TT6tJjQ==" saltValue="VwQ9/JNyVGQnxQNulSUf1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I81" sqref="I81"/>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5" t="s">
        <v>155</v>
      </c>
      <c r="C5" s="145"/>
      <c r="D5" s="145"/>
      <c r="E5" s="123">
        <v>8</v>
      </c>
      <c r="F5" s="102" t="s">
        <v>28</v>
      </c>
    </row>
    <row r="6" spans="1:8" x14ac:dyDescent="0.25">
      <c r="B6" s="145" t="s">
        <v>27</v>
      </c>
      <c r="C6" s="145"/>
      <c r="D6" s="145"/>
      <c r="E6" s="123">
        <v>4</v>
      </c>
      <c r="F6" s="102" t="s">
        <v>29</v>
      </c>
    </row>
    <row r="7" spans="1:8" x14ac:dyDescent="0.25">
      <c r="B7" s="145" t="s">
        <v>25</v>
      </c>
      <c r="C7" s="145"/>
      <c r="D7" s="145"/>
      <c r="E7" s="123">
        <v>25</v>
      </c>
      <c r="F7" s="102" t="s">
        <v>115</v>
      </c>
    </row>
    <row r="8" spans="1:8" ht="12.75" customHeight="1" x14ac:dyDescent="0.25">
      <c r="B8" s="145" t="s">
        <v>30</v>
      </c>
      <c r="C8" s="145"/>
      <c r="D8" s="145"/>
      <c r="E8" s="72">
        <f>'Discount factors'!D59</f>
        <v>11.528758283675661</v>
      </c>
      <c r="F8" s="102" t="s">
        <v>29</v>
      </c>
      <c r="G8" t="s">
        <v>165</v>
      </c>
    </row>
    <row r="9" spans="1:8" x14ac:dyDescent="0.25">
      <c r="B9" s="145" t="s">
        <v>161</v>
      </c>
      <c r="C9" s="145"/>
      <c r="D9" s="145"/>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39" t="s">
        <v>119</v>
      </c>
      <c r="C16" s="140"/>
      <c r="D16" s="140"/>
      <c r="E16" s="140"/>
      <c r="F16" s="125">
        <v>330.60630567135399</v>
      </c>
      <c r="G16" s="5" t="s">
        <v>97</v>
      </c>
      <c r="H16" t="s">
        <v>162</v>
      </c>
    </row>
    <row r="17" spans="1:12" ht="18" x14ac:dyDescent="0.35">
      <c r="B17" s="139" t="s">
        <v>98</v>
      </c>
      <c r="C17" s="140"/>
      <c r="D17" s="140"/>
      <c r="E17" s="140"/>
      <c r="F17" s="125">
        <v>110.70571266612188</v>
      </c>
      <c r="G17" s="5" t="s">
        <v>97</v>
      </c>
    </row>
    <row r="18" spans="1:12" x14ac:dyDescent="0.25">
      <c r="B18" s="46"/>
      <c r="C18" s="46"/>
      <c r="G18" s="60"/>
    </row>
    <row r="19" spans="1:12" ht="18" x14ac:dyDescent="0.35">
      <c r="B19" s="139" t="s">
        <v>93</v>
      </c>
      <c r="C19" s="146"/>
      <c r="D19" s="140"/>
      <c r="E19" s="140"/>
      <c r="F19" s="43">
        <f>F16*'Input data'!E12/1000</f>
        <v>2777.092967639373</v>
      </c>
      <c r="G19" s="5" t="s">
        <v>95</v>
      </c>
    </row>
    <row r="20" spans="1:12" ht="18" x14ac:dyDescent="0.35">
      <c r="B20" s="147" t="s">
        <v>94</v>
      </c>
      <c r="C20" s="146"/>
      <c r="D20" s="140"/>
      <c r="E20" s="140"/>
      <c r="F20" s="43">
        <f>(F16-F17)*'Input data'!E12/1000</f>
        <v>1847.1649812439493</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8" t="s">
        <v>135</v>
      </c>
      <c r="E25" s="149"/>
      <c r="F25" s="149"/>
      <c r="G25" s="150"/>
      <c r="H25" s="148" t="s">
        <v>38</v>
      </c>
      <c r="I25" s="149"/>
      <c r="J25" s="150"/>
      <c r="K25" s="151" t="s">
        <v>12</v>
      </c>
      <c r="L25" s="152"/>
    </row>
    <row r="26" spans="1:12" ht="42" customHeight="1" x14ac:dyDescent="0.25">
      <c r="A26" s="2"/>
      <c r="B26" s="6"/>
      <c r="D26" s="106" t="s">
        <v>13</v>
      </c>
      <c r="E26" s="107" t="s">
        <v>7</v>
      </c>
      <c r="F26" s="107" t="s">
        <v>8</v>
      </c>
      <c r="G26" s="108" t="s">
        <v>134</v>
      </c>
      <c r="H26" s="106" t="s">
        <v>9</v>
      </c>
      <c r="I26" s="107" t="s">
        <v>10</v>
      </c>
      <c r="J26" s="108" t="s">
        <v>11</v>
      </c>
      <c r="K26" s="153"/>
      <c r="L26" s="154"/>
    </row>
    <row r="27" spans="1:12" x14ac:dyDescent="0.25">
      <c r="A27" s="2"/>
      <c r="B27" s="9" t="s">
        <v>0</v>
      </c>
      <c r="C27" s="80"/>
      <c r="D27" s="126">
        <v>39000</v>
      </c>
      <c r="E27" s="127">
        <v>161100</v>
      </c>
      <c r="F27" s="127">
        <v>63600</v>
      </c>
      <c r="G27" s="128">
        <v>20080</v>
      </c>
      <c r="H27" s="126">
        <v>115400</v>
      </c>
      <c r="I27" s="127">
        <v>11100</v>
      </c>
      <c r="J27" s="128">
        <v>3740</v>
      </c>
      <c r="K27" s="155">
        <v>71300</v>
      </c>
      <c r="L27" s="156"/>
    </row>
    <row r="28" spans="1:12" x14ac:dyDescent="0.25">
      <c r="A28" s="2"/>
      <c r="B28" s="9" t="s">
        <v>1</v>
      </c>
      <c r="C28" s="80"/>
      <c r="D28" s="126">
        <v>25700</v>
      </c>
      <c r="E28" s="127">
        <v>94600</v>
      </c>
      <c r="F28" s="127">
        <v>37400</v>
      </c>
      <c r="G28" s="128">
        <v>15300</v>
      </c>
      <c r="H28" s="126">
        <v>65600</v>
      </c>
      <c r="I28" s="127">
        <v>8000</v>
      </c>
      <c r="J28" s="128">
        <v>2200</v>
      </c>
      <c r="K28" s="155">
        <v>81800</v>
      </c>
      <c r="L28" s="156"/>
    </row>
    <row r="29" spans="1:12" x14ac:dyDescent="0.25">
      <c r="A29" s="2"/>
      <c r="B29" s="9" t="s">
        <v>3</v>
      </c>
      <c r="C29" s="80"/>
      <c r="D29" s="126">
        <v>3900</v>
      </c>
      <c r="E29" s="127">
        <v>14200</v>
      </c>
      <c r="F29" s="127">
        <v>5600</v>
      </c>
      <c r="G29" s="128">
        <v>2300</v>
      </c>
      <c r="H29" s="126">
        <v>9800</v>
      </c>
      <c r="I29" s="127">
        <v>1200</v>
      </c>
      <c r="J29" s="128">
        <v>300</v>
      </c>
      <c r="K29" s="155">
        <v>2000</v>
      </c>
      <c r="L29" s="156"/>
    </row>
    <row r="30" spans="1:12" x14ac:dyDescent="0.25">
      <c r="A30" s="2"/>
      <c r="B30" s="9" t="s">
        <v>4</v>
      </c>
      <c r="C30" s="80"/>
      <c r="D30" s="129">
        <v>12900</v>
      </c>
      <c r="E30" s="130">
        <v>51100</v>
      </c>
      <c r="F30" s="130">
        <v>20200</v>
      </c>
      <c r="G30" s="131">
        <v>7100</v>
      </c>
      <c r="H30" s="129">
        <v>36200</v>
      </c>
      <c r="I30" s="130">
        <v>3800</v>
      </c>
      <c r="J30" s="131">
        <v>1200</v>
      </c>
      <c r="K30" s="162">
        <v>30600</v>
      </c>
      <c r="L30" s="163"/>
    </row>
    <row r="31" spans="1:12" x14ac:dyDescent="0.25">
      <c r="A31" s="2"/>
      <c r="D31" t="s">
        <v>166</v>
      </c>
    </row>
    <row r="32" spans="1:12" x14ac:dyDescent="0.25">
      <c r="A32" s="2"/>
    </row>
    <row r="33" spans="2:11" x14ac:dyDescent="0.25">
      <c r="B33" s="2" t="s">
        <v>32</v>
      </c>
    </row>
    <row r="34" spans="2:11" x14ac:dyDescent="0.25">
      <c r="B34" s="142" t="s">
        <v>32</v>
      </c>
      <c r="C34" s="142"/>
      <c r="D34" s="142"/>
      <c r="E34" s="132">
        <v>15</v>
      </c>
      <c r="F34" s="5" t="s">
        <v>105</v>
      </c>
    </row>
    <row r="36" spans="2:11" x14ac:dyDescent="0.25">
      <c r="B36" s="2" t="s">
        <v>132</v>
      </c>
    </row>
    <row r="37" spans="2:11" x14ac:dyDescent="0.25">
      <c r="B37" s="4" t="s">
        <v>56</v>
      </c>
      <c r="C37" s="4"/>
      <c r="D37" s="4"/>
      <c r="E37" s="4"/>
      <c r="F37" s="4"/>
      <c r="G37" s="4"/>
      <c r="H37" s="132">
        <v>0.5</v>
      </c>
      <c r="I37" s="80" t="s">
        <v>46</v>
      </c>
      <c r="J37" s="4"/>
      <c r="K37" s="4"/>
    </row>
    <row r="38" spans="2:11" x14ac:dyDescent="0.25">
      <c r="B38" s="4" t="s">
        <v>49</v>
      </c>
      <c r="C38" s="4"/>
      <c r="D38" s="4"/>
      <c r="E38" s="4"/>
      <c r="F38" s="4"/>
      <c r="G38" s="4"/>
      <c r="H38" s="132">
        <v>3</v>
      </c>
      <c r="I38" s="80" t="s">
        <v>50</v>
      </c>
      <c r="J38" s="4"/>
      <c r="K38" s="4"/>
    </row>
    <row r="39" spans="2:11" x14ac:dyDescent="0.25">
      <c r="B39" s="4" t="s">
        <v>55</v>
      </c>
      <c r="C39" s="4"/>
      <c r="D39" s="4"/>
      <c r="E39" s="4"/>
      <c r="F39" s="4"/>
      <c r="G39" s="4"/>
      <c r="H39" s="132">
        <v>1</v>
      </c>
      <c r="I39" s="80" t="s">
        <v>51</v>
      </c>
      <c r="J39" s="4"/>
      <c r="K39" s="4"/>
    </row>
    <row r="40" spans="2:11" x14ac:dyDescent="0.25">
      <c r="B40" s="4" t="s">
        <v>52</v>
      </c>
      <c r="C40" s="4"/>
      <c r="D40" s="4"/>
      <c r="E40" s="4"/>
      <c r="F40" s="4"/>
      <c r="G40" s="4"/>
      <c r="H40" s="132">
        <v>25</v>
      </c>
      <c r="I40" s="80" t="s">
        <v>53</v>
      </c>
      <c r="J40" s="4"/>
      <c r="K40" s="4"/>
    </row>
    <row r="41" spans="2:11" x14ac:dyDescent="0.25">
      <c r="B41" s="4" t="s">
        <v>54</v>
      </c>
      <c r="C41" s="4"/>
      <c r="D41" s="4"/>
      <c r="E41" s="4"/>
      <c r="F41" s="4"/>
      <c r="G41" s="4"/>
      <c r="H41" s="132">
        <v>2</v>
      </c>
      <c r="I41" s="80" t="s">
        <v>46</v>
      </c>
      <c r="J41" s="4"/>
      <c r="K41" s="4"/>
    </row>
    <row r="42" spans="2:11" x14ac:dyDescent="0.25">
      <c r="B42" s="4" t="s">
        <v>47</v>
      </c>
      <c r="C42" s="4"/>
      <c r="D42" s="4"/>
      <c r="E42" s="4"/>
      <c r="F42" s="4"/>
      <c r="G42" s="4"/>
      <c r="H42" s="132">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2">
        <v>20</v>
      </c>
      <c r="D46" s="132">
        <v>50</v>
      </c>
      <c r="E46" s="132">
        <v>30</v>
      </c>
      <c r="F46" s="5" t="s">
        <v>28</v>
      </c>
    </row>
    <row r="48" spans="2:11" x14ac:dyDescent="0.25">
      <c r="B48" s="139" t="s">
        <v>48</v>
      </c>
      <c r="C48" s="139"/>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7" t="s">
        <v>109</v>
      </c>
      <c r="F53" s="158"/>
      <c r="G53" s="84" t="s">
        <v>38</v>
      </c>
      <c r="H53" s="165" t="s">
        <v>12</v>
      </c>
      <c r="I53" s="166"/>
    </row>
    <row r="54" spans="1:9" x14ac:dyDescent="0.25">
      <c r="B54" s="147" t="s">
        <v>101</v>
      </c>
      <c r="C54" s="140"/>
      <c r="D54" s="140"/>
      <c r="E54" s="164">
        <v>20</v>
      </c>
      <c r="F54" s="164"/>
      <c r="G54" s="132">
        <v>10</v>
      </c>
      <c r="H54" s="164">
        <v>0</v>
      </c>
      <c r="I54" s="161"/>
    </row>
    <row r="55" spans="1:9" x14ac:dyDescent="0.25">
      <c r="B55" s="2"/>
    </row>
    <row r="56" spans="1:9" x14ac:dyDescent="0.25">
      <c r="B56" s="4" t="s">
        <v>74</v>
      </c>
      <c r="C56" s="4"/>
      <c r="D56" s="4"/>
      <c r="E56" s="4"/>
      <c r="F56" s="133">
        <v>80000</v>
      </c>
      <c r="G56" s="5" t="s">
        <v>75</v>
      </c>
    </row>
    <row r="57" spans="1:9" x14ac:dyDescent="0.25">
      <c r="F57" s="6"/>
    </row>
    <row r="58" spans="1:9" x14ac:dyDescent="0.25">
      <c r="B58" s="2" t="s">
        <v>62</v>
      </c>
      <c r="F58" s="6"/>
    </row>
    <row r="59" spans="1:9" x14ac:dyDescent="0.25">
      <c r="B59" s="8" t="s">
        <v>13</v>
      </c>
      <c r="C59" s="9"/>
      <c r="D59" s="9"/>
      <c r="E59" s="9"/>
      <c r="F59" s="132">
        <v>2</v>
      </c>
      <c r="G59" s="5" t="s">
        <v>46</v>
      </c>
    </row>
    <row r="60" spans="1:9" ht="18" x14ac:dyDescent="0.35">
      <c r="B60" s="9" t="s">
        <v>80</v>
      </c>
      <c r="C60" s="9"/>
      <c r="D60" s="9"/>
      <c r="E60" s="9"/>
      <c r="F60" s="132">
        <v>2</v>
      </c>
      <c r="G60" s="5" t="s">
        <v>46</v>
      </c>
    </row>
    <row r="61" spans="1:9" x14ac:dyDescent="0.25">
      <c r="B61" s="9" t="s">
        <v>9</v>
      </c>
      <c r="C61" s="9"/>
      <c r="D61" s="9"/>
      <c r="E61" s="9"/>
      <c r="F61" s="132">
        <v>2.5</v>
      </c>
      <c r="G61" s="5" t="s">
        <v>46</v>
      </c>
    </row>
    <row r="62" spans="1:9" x14ac:dyDescent="0.25">
      <c r="B62" s="9" t="s">
        <v>60</v>
      </c>
      <c r="C62" s="9"/>
      <c r="D62" s="9"/>
      <c r="E62" s="9"/>
      <c r="F62" s="132">
        <v>1</v>
      </c>
      <c r="G62" s="5" t="s">
        <v>46</v>
      </c>
    </row>
    <row r="63" spans="1:9" x14ac:dyDescent="0.25">
      <c r="B63" s="9" t="s">
        <v>61</v>
      </c>
      <c r="C63" s="9"/>
      <c r="D63" s="9"/>
      <c r="E63" s="9"/>
      <c r="F63" s="132">
        <v>1</v>
      </c>
      <c r="G63" s="5" t="s">
        <v>46</v>
      </c>
    </row>
    <row r="64" spans="1:9" x14ac:dyDescent="0.25">
      <c r="F64" s="6"/>
      <c r="G64" s="82"/>
    </row>
    <row r="65" spans="1:10" x14ac:dyDescent="0.25">
      <c r="B65" s="2" t="s">
        <v>81</v>
      </c>
      <c r="F65" s="6"/>
      <c r="G65" s="82"/>
    </row>
    <row r="66" spans="1:10" ht="28.15" customHeight="1" x14ac:dyDescent="0.25">
      <c r="B66" s="141" t="s">
        <v>63</v>
      </c>
      <c r="C66" s="140"/>
      <c r="D66" s="140"/>
      <c r="E66" s="140"/>
      <c r="F66" s="134">
        <v>60</v>
      </c>
      <c r="G66" s="84" t="s">
        <v>28</v>
      </c>
    </row>
    <row r="67" spans="1:10" x14ac:dyDescent="0.25">
      <c r="F67" s="6"/>
      <c r="G67" s="82"/>
    </row>
    <row r="68" spans="1:10" x14ac:dyDescent="0.25">
      <c r="B68" s="2" t="s">
        <v>64</v>
      </c>
      <c r="F68" s="6"/>
      <c r="G68" s="82"/>
    </row>
    <row r="69" spans="1:10" x14ac:dyDescent="0.25">
      <c r="B69" s="4" t="s">
        <v>64</v>
      </c>
      <c r="C69" s="4"/>
      <c r="D69" s="4"/>
      <c r="E69" s="4"/>
      <c r="F69" s="132">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7" t="s">
        <v>109</v>
      </c>
      <c r="F74" s="158"/>
      <c r="G74" s="84" t="s">
        <v>38</v>
      </c>
      <c r="H74" s="165" t="s">
        <v>12</v>
      </c>
      <c r="I74" s="166"/>
    </row>
    <row r="75" spans="1:10" ht="15.75" x14ac:dyDescent="0.25">
      <c r="A75" s="101"/>
      <c r="B75" s="9" t="s">
        <v>42</v>
      </c>
      <c r="C75" s="80"/>
      <c r="D75" s="80"/>
      <c r="E75" s="159" t="s">
        <v>29</v>
      </c>
      <c r="F75" s="140"/>
      <c r="G75" s="135">
        <v>1939.73</v>
      </c>
      <c r="H75" s="159" t="s">
        <v>29</v>
      </c>
      <c r="I75" s="140"/>
      <c r="J75" s="5" t="s">
        <v>136</v>
      </c>
    </row>
    <row r="76" spans="1:10" ht="15.75" x14ac:dyDescent="0.25">
      <c r="A76" s="101"/>
      <c r="B76" s="9" t="s">
        <v>137</v>
      </c>
      <c r="C76" s="80"/>
      <c r="D76" s="80"/>
      <c r="E76" s="160">
        <v>0.68</v>
      </c>
      <c r="F76" s="160"/>
      <c r="G76" s="61" t="s">
        <v>29</v>
      </c>
      <c r="H76" s="159" t="s">
        <v>29</v>
      </c>
      <c r="I76" s="140"/>
      <c r="J76" s="5" t="s">
        <v>138</v>
      </c>
    </row>
    <row r="77" spans="1:10" ht="15.75" x14ac:dyDescent="0.25">
      <c r="A77" s="101"/>
      <c r="B77" s="9" t="s">
        <v>139</v>
      </c>
      <c r="C77" s="80"/>
      <c r="D77" s="80"/>
      <c r="E77" s="160">
        <v>701.7</v>
      </c>
      <c r="F77" s="160"/>
      <c r="G77" s="61" t="s">
        <v>29</v>
      </c>
      <c r="H77" s="159" t="s">
        <v>29</v>
      </c>
      <c r="I77" s="140"/>
      <c r="J77" s="5" t="s">
        <v>140</v>
      </c>
    </row>
    <row r="78" spans="1:10" ht="15.75" x14ac:dyDescent="0.25">
      <c r="A78" s="101"/>
      <c r="B78" s="9" t="s">
        <v>141</v>
      </c>
      <c r="C78" s="80"/>
      <c r="D78" s="80"/>
      <c r="E78" s="159" t="s">
        <v>29</v>
      </c>
      <c r="F78" s="140"/>
      <c r="G78" s="135">
        <v>1107.5</v>
      </c>
      <c r="H78" s="159" t="s">
        <v>29</v>
      </c>
      <c r="I78" s="140"/>
      <c r="J78" s="5" t="s">
        <v>138</v>
      </c>
    </row>
    <row r="79" spans="1:10" ht="15.75" x14ac:dyDescent="0.25">
      <c r="A79" s="101"/>
      <c r="B79" s="9" t="s">
        <v>142</v>
      </c>
      <c r="C79" s="80"/>
      <c r="D79" s="80"/>
      <c r="E79" s="160">
        <v>1.76</v>
      </c>
      <c r="F79" s="161"/>
      <c r="G79" s="61" t="s">
        <v>29</v>
      </c>
      <c r="H79" s="159" t="s">
        <v>29</v>
      </c>
      <c r="I79" s="140"/>
      <c r="J79" s="5" t="s">
        <v>138</v>
      </c>
    </row>
    <row r="80" spans="1:10" ht="15.75" x14ac:dyDescent="0.25">
      <c r="A80" s="101"/>
      <c r="B80" s="2"/>
      <c r="G80" s="82"/>
      <c r="J80" s="82"/>
    </row>
    <row r="81" spans="1:10" ht="18" x14ac:dyDescent="0.35">
      <c r="A81" s="101"/>
      <c r="B81" s="116" t="s">
        <v>159</v>
      </c>
      <c r="C81" s="116"/>
      <c r="D81" s="116"/>
      <c r="E81" s="116"/>
      <c r="F81" s="116"/>
      <c r="G81" s="5"/>
      <c r="H81" s="120"/>
      <c r="I81" s="136">
        <v>0.68746180851306093</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7" t="s">
        <v>109</v>
      </c>
      <c r="F84" s="158"/>
      <c r="G84" s="84" t="s">
        <v>38</v>
      </c>
      <c r="H84" s="165" t="s">
        <v>12</v>
      </c>
      <c r="I84" s="166"/>
      <c r="J84" s="82"/>
    </row>
    <row r="85" spans="1:10" ht="14.25" hidden="1" customHeight="1" x14ac:dyDescent="0.25">
      <c r="A85" s="101"/>
      <c r="B85" s="9" t="s">
        <v>42</v>
      </c>
      <c r="C85" s="80"/>
      <c r="D85" s="80"/>
      <c r="E85" s="159" t="s">
        <v>29</v>
      </c>
      <c r="F85" s="139"/>
      <c r="G85" s="61">
        <f>'Input data'!G75*'Input data'!$E$12</f>
        <v>16293731.999999996</v>
      </c>
      <c r="H85" s="159" t="s">
        <v>29</v>
      </c>
      <c r="I85" s="139"/>
      <c r="J85" s="5" t="s">
        <v>143</v>
      </c>
    </row>
    <row r="86" spans="1:10" ht="15" hidden="1" customHeight="1" x14ac:dyDescent="0.25">
      <c r="A86" s="101"/>
      <c r="B86" s="9" t="s">
        <v>137</v>
      </c>
      <c r="C86" s="80"/>
      <c r="D86" s="80"/>
      <c r="E86" s="159">
        <f>'Input data'!E76*'Input data'!$E$12</f>
        <v>5711.9999999999991</v>
      </c>
      <c r="F86" s="139"/>
      <c r="G86" s="61" t="s">
        <v>29</v>
      </c>
      <c r="H86" s="159" t="s">
        <v>29</v>
      </c>
      <c r="I86" s="139"/>
      <c r="J86" s="5" t="s">
        <v>144</v>
      </c>
    </row>
    <row r="87" spans="1:10" ht="20.25" hidden="1" customHeight="1" x14ac:dyDescent="0.25">
      <c r="A87" s="101"/>
      <c r="B87" s="9" t="s">
        <v>139</v>
      </c>
      <c r="C87" s="80"/>
      <c r="D87" s="80"/>
      <c r="E87" s="159">
        <f>'Input data'!E77*'Input data'!$E$12/1000</f>
        <v>5894.2799999999988</v>
      </c>
      <c r="F87" s="139"/>
      <c r="G87" s="61" t="s">
        <v>29</v>
      </c>
      <c r="H87" s="159" t="s">
        <v>29</v>
      </c>
      <c r="I87" s="139"/>
      <c r="J87" s="5" t="s">
        <v>144</v>
      </c>
    </row>
    <row r="88" spans="1:10" ht="15.75" x14ac:dyDescent="0.25">
      <c r="A88" s="101"/>
      <c r="B88" s="9" t="s">
        <v>145</v>
      </c>
      <c r="C88" s="80"/>
      <c r="D88" s="80"/>
      <c r="E88" s="160">
        <f>3*PI()*2.05^2/4*5.85*704/1000*0.1</f>
        <v>4.0780015209785256</v>
      </c>
      <c r="F88" s="167"/>
      <c r="G88" s="61" t="s">
        <v>29</v>
      </c>
      <c r="H88" s="159" t="s">
        <v>29</v>
      </c>
      <c r="I88" s="139"/>
      <c r="J88" s="5" t="s">
        <v>144</v>
      </c>
    </row>
    <row r="89" spans="1:10" ht="14.25" hidden="1" x14ac:dyDescent="0.25">
      <c r="A89" s="101"/>
      <c r="B89" s="9" t="s">
        <v>141</v>
      </c>
      <c r="C89" s="80"/>
      <c r="D89" s="80"/>
      <c r="E89" s="159" t="s">
        <v>29</v>
      </c>
      <c r="F89" s="139"/>
      <c r="G89" s="61">
        <f>'Input data'!G78*'Input data'!$E$12</f>
        <v>9302999.9999999981</v>
      </c>
      <c r="H89" s="159" t="s">
        <v>29</v>
      </c>
      <c r="I89" s="139"/>
      <c r="J89" s="80" t="s">
        <v>144</v>
      </c>
    </row>
    <row r="90" spans="1:10" ht="14.25" hidden="1" x14ac:dyDescent="0.25">
      <c r="A90" s="101"/>
      <c r="B90" s="9" t="s">
        <v>142</v>
      </c>
      <c r="C90" s="80"/>
      <c r="D90" s="80"/>
      <c r="E90" s="159">
        <f>'Input data'!E79*'Input data'!$E$12</f>
        <v>14783.999999999996</v>
      </c>
      <c r="F90" s="139"/>
      <c r="G90" s="61" t="s">
        <v>29</v>
      </c>
      <c r="H90" s="159" t="s">
        <v>29</v>
      </c>
      <c r="I90" s="139"/>
      <c r="J90" s="80" t="s">
        <v>144</v>
      </c>
    </row>
    <row r="91" spans="1:10" x14ac:dyDescent="0.25">
      <c r="G91" s="82"/>
    </row>
    <row r="92" spans="1:10" x14ac:dyDescent="0.25">
      <c r="B92" s="2" t="s">
        <v>133</v>
      </c>
      <c r="G92" s="82"/>
    </row>
    <row r="93" spans="1:10" x14ac:dyDescent="0.25">
      <c r="B93" s="9" t="s">
        <v>65</v>
      </c>
      <c r="C93" s="9"/>
      <c r="D93" s="9"/>
      <c r="E93" s="9"/>
      <c r="F93" s="137">
        <f>6*1.10779552</f>
        <v>6.6467731200000006</v>
      </c>
      <c r="G93" s="5" t="s">
        <v>71</v>
      </c>
    </row>
    <row r="94" spans="1:10" x14ac:dyDescent="0.25">
      <c r="B94" s="9" t="s">
        <v>66</v>
      </c>
      <c r="C94" s="9"/>
      <c r="D94" s="9"/>
      <c r="E94" s="9"/>
      <c r="F94" s="132">
        <v>44</v>
      </c>
      <c r="G94" s="5" t="s">
        <v>72</v>
      </c>
    </row>
    <row r="95" spans="1:10" x14ac:dyDescent="0.25">
      <c r="B95" s="9" t="s">
        <v>67</v>
      </c>
      <c r="C95" s="9"/>
      <c r="D95" s="9"/>
      <c r="E95" s="9"/>
      <c r="F95" s="133">
        <v>2000</v>
      </c>
      <c r="G95" s="5" t="s">
        <v>72</v>
      </c>
    </row>
    <row r="96" spans="1:10" x14ac:dyDescent="0.25">
      <c r="B96" s="9" t="s">
        <v>68</v>
      </c>
      <c r="C96" s="9"/>
      <c r="D96" s="9"/>
      <c r="E96" s="9"/>
      <c r="F96" s="133">
        <f>7200</f>
        <v>7200</v>
      </c>
      <c r="G96" s="5" t="s">
        <v>72</v>
      </c>
    </row>
    <row r="97" spans="1:15" x14ac:dyDescent="0.25">
      <c r="B97" s="9" t="s">
        <v>69</v>
      </c>
      <c r="C97" s="9"/>
      <c r="D97" s="9"/>
      <c r="E97" s="9"/>
      <c r="F97" s="132">
        <v>0.1</v>
      </c>
      <c r="G97" s="5" t="s">
        <v>72</v>
      </c>
    </row>
    <row r="98" spans="1:15" x14ac:dyDescent="0.25">
      <c r="B98" s="9" t="s">
        <v>70</v>
      </c>
      <c r="C98" s="9"/>
      <c r="D98" s="9"/>
      <c r="E98" s="9"/>
      <c r="F98" s="132">
        <v>225</v>
      </c>
      <c r="G98" s="5" t="s">
        <v>72</v>
      </c>
    </row>
    <row r="99" spans="1:15" x14ac:dyDescent="0.25">
      <c r="B99" s="9" t="s">
        <v>73</v>
      </c>
      <c r="C99" s="4"/>
      <c r="D99" s="4"/>
      <c r="E99" s="4"/>
      <c r="F99" s="132">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7" t="s">
        <v>107</v>
      </c>
      <c r="O103" t="s">
        <v>106</v>
      </c>
    </row>
    <row r="104" spans="1:15" x14ac:dyDescent="0.25">
      <c r="O104" t="s">
        <v>107</v>
      </c>
    </row>
    <row r="105" spans="1:15" x14ac:dyDescent="0.25">
      <c r="B105" s="9" t="s">
        <v>151</v>
      </c>
      <c r="C105" s="80"/>
      <c r="D105" s="80"/>
      <c r="E105" s="80"/>
      <c r="F105" s="135">
        <v>0.12</v>
      </c>
      <c r="G105" s="5" t="s">
        <v>149</v>
      </c>
    </row>
    <row r="106" spans="1:15" hidden="1" x14ac:dyDescent="0.25">
      <c r="B106" s="9" t="s">
        <v>153</v>
      </c>
      <c r="C106" s="80"/>
      <c r="D106" s="80"/>
      <c r="E106" s="80"/>
      <c r="F106" s="138">
        <f>'Input data'!F105*'Input data'!$E$12</f>
        <v>1007.9999999999998</v>
      </c>
      <c r="G106" s="5" t="s">
        <v>150</v>
      </c>
    </row>
    <row r="107" spans="1:15" x14ac:dyDescent="0.25">
      <c r="B107" s="9" t="s">
        <v>152</v>
      </c>
      <c r="C107" s="9"/>
      <c r="D107" s="9"/>
      <c r="E107" s="80"/>
      <c r="F107" s="137">
        <v>90</v>
      </c>
      <c r="G107" s="5" t="s">
        <v>89</v>
      </c>
    </row>
    <row r="109" spans="1:15" ht="15.75" x14ac:dyDescent="0.25">
      <c r="A109" s="101" t="s">
        <v>130</v>
      </c>
    </row>
    <row r="110" spans="1:15" x14ac:dyDescent="0.25">
      <c r="A110" s="2"/>
    </row>
    <row r="111" spans="1:15" x14ac:dyDescent="0.25">
      <c r="A111" s="2"/>
      <c r="D111" s="143" t="s">
        <v>85</v>
      </c>
      <c r="E111" s="144"/>
    </row>
    <row r="112" spans="1:15" x14ac:dyDescent="0.25">
      <c r="B112" s="139" t="s">
        <v>34</v>
      </c>
      <c r="C112" s="140"/>
      <c r="D112" s="136">
        <v>-0.15</v>
      </c>
      <c r="E112" s="136">
        <v>0.35</v>
      </c>
      <c r="F112" s="5" t="s">
        <v>28</v>
      </c>
    </row>
    <row r="113" spans="2:6" x14ac:dyDescent="0.25">
      <c r="B113" s="139" t="s">
        <v>84</v>
      </c>
      <c r="C113" s="140"/>
      <c r="D113" s="136">
        <v>-0.2</v>
      </c>
      <c r="E113" s="136">
        <v>0.2</v>
      </c>
      <c r="F113" s="5" t="s">
        <v>28</v>
      </c>
    </row>
    <row r="114" spans="2:6" x14ac:dyDescent="0.25">
      <c r="B114" s="139" t="s">
        <v>52</v>
      </c>
      <c r="C114" s="140"/>
      <c r="D114" s="136">
        <v>-0.3</v>
      </c>
      <c r="E114" s="136">
        <v>0.3</v>
      </c>
      <c r="F114" s="5" t="s">
        <v>28</v>
      </c>
    </row>
    <row r="115" spans="2:6" ht="18" x14ac:dyDescent="0.25">
      <c r="B115" s="10" t="s">
        <v>109</v>
      </c>
      <c r="C115" s="118"/>
      <c r="D115" s="136">
        <v>-0.3</v>
      </c>
      <c r="E115" s="136">
        <v>0.3</v>
      </c>
      <c r="F115" s="5" t="s">
        <v>28</v>
      </c>
    </row>
    <row r="116" spans="2:6" x14ac:dyDescent="0.25">
      <c r="B116" s="10" t="s">
        <v>38</v>
      </c>
      <c r="C116" s="118"/>
      <c r="D116" s="136">
        <v>-0.3</v>
      </c>
      <c r="E116" s="136">
        <v>0.3</v>
      </c>
      <c r="F116" s="5" t="s">
        <v>28</v>
      </c>
    </row>
    <row r="117" spans="2:6" x14ac:dyDescent="0.25">
      <c r="B117" s="9" t="s">
        <v>12</v>
      </c>
      <c r="C117" s="118"/>
      <c r="D117" s="136">
        <v>-0.3</v>
      </c>
      <c r="E117" s="136">
        <v>0.3</v>
      </c>
      <c r="F117" s="5" t="s">
        <v>28</v>
      </c>
    </row>
    <row r="118" spans="2:6" x14ac:dyDescent="0.25">
      <c r="B118" s="117" t="s">
        <v>157</v>
      </c>
      <c r="C118" s="114"/>
      <c r="D118" s="136">
        <v>-0.33</v>
      </c>
      <c r="E118" s="136">
        <v>0</v>
      </c>
      <c r="F118" s="5" t="s">
        <v>28</v>
      </c>
    </row>
    <row r="119" spans="2:6" x14ac:dyDescent="0.25">
      <c r="B119" s="117" t="s">
        <v>156</v>
      </c>
      <c r="C119" s="114"/>
      <c r="D119" s="136">
        <v>-0.3</v>
      </c>
      <c r="E119" s="136">
        <v>0</v>
      </c>
      <c r="F119" s="5" t="s">
        <v>28</v>
      </c>
    </row>
    <row r="121" spans="2:6" x14ac:dyDescent="0.25">
      <c r="D121" s="143" t="s">
        <v>154</v>
      </c>
      <c r="E121" s="144"/>
    </row>
    <row r="122" spans="2:6" x14ac:dyDescent="0.25">
      <c r="B122" s="49" t="s">
        <v>113</v>
      </c>
      <c r="C122" s="49"/>
      <c r="D122" s="132">
        <v>10</v>
      </c>
      <c r="E122" s="132">
        <v>40</v>
      </c>
      <c r="F122" s="5" t="s">
        <v>115</v>
      </c>
    </row>
    <row r="123" spans="2:6" x14ac:dyDescent="0.25">
      <c r="B123" s="49" t="s">
        <v>26</v>
      </c>
      <c r="C123" s="49"/>
      <c r="D123" s="132">
        <v>4</v>
      </c>
      <c r="E123" s="132">
        <v>12</v>
      </c>
      <c r="F123" s="5" t="s">
        <v>28</v>
      </c>
    </row>
    <row r="124" spans="2:6" x14ac:dyDescent="0.25">
      <c r="B124" s="49" t="s">
        <v>114</v>
      </c>
      <c r="C124" s="49"/>
      <c r="D124" s="132">
        <v>70</v>
      </c>
      <c r="E124" s="132">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39000</v>
      </c>
      <c r="E5" s="111">
        <f>'Input data'!E27</f>
        <v>161100</v>
      </c>
      <c r="F5" s="111">
        <f>'Input data'!F27</f>
        <v>63600</v>
      </c>
      <c r="G5" s="112">
        <f>'Input data'!G27</f>
        <v>20080</v>
      </c>
      <c r="H5" s="110">
        <f>'Input data'!H27</f>
        <v>115400</v>
      </c>
      <c r="I5" s="111">
        <f>'Input data'!I27</f>
        <v>11100</v>
      </c>
      <c r="J5" s="112">
        <f>'Input data'!J27</f>
        <v>3740</v>
      </c>
      <c r="K5" s="29">
        <f>'Input data'!K27</f>
        <v>71300</v>
      </c>
      <c r="L5" s="29">
        <f>SUM(D5:K5)</f>
        <v>485320</v>
      </c>
    </row>
    <row r="6" spans="2:12" x14ac:dyDescent="0.25">
      <c r="C6" s="21" t="s">
        <v>1</v>
      </c>
      <c r="D6" s="83">
        <f>'Input data'!D28</f>
        <v>25700</v>
      </c>
      <c r="E6" s="11">
        <f>'Input data'!E28</f>
        <v>94600</v>
      </c>
      <c r="F6" s="11">
        <f>'Input data'!F28</f>
        <v>37400</v>
      </c>
      <c r="G6" s="22">
        <f>'Input data'!G28</f>
        <v>15300</v>
      </c>
      <c r="H6" s="83">
        <f>'Input data'!H28</f>
        <v>65600</v>
      </c>
      <c r="I6" s="11">
        <f>'Input data'!I28</f>
        <v>8000</v>
      </c>
      <c r="J6" s="22">
        <f>'Input data'!J28</f>
        <v>2200</v>
      </c>
      <c r="K6" s="28">
        <f>'Input data'!K28</f>
        <v>81800</v>
      </c>
      <c r="L6" s="28">
        <f>SUM(D6:K6)</f>
        <v>330600</v>
      </c>
    </row>
    <row r="7" spans="2:12" x14ac:dyDescent="0.25">
      <c r="C7" s="30" t="s">
        <v>2</v>
      </c>
      <c r="D7" s="24">
        <f t="shared" ref="D7:K7" si="0">D6+D5</f>
        <v>64700</v>
      </c>
      <c r="E7" s="13">
        <f t="shared" si="0"/>
        <v>255700</v>
      </c>
      <c r="F7" s="13">
        <f t="shared" si="0"/>
        <v>101000</v>
      </c>
      <c r="G7" s="25">
        <f t="shared" si="0"/>
        <v>35380</v>
      </c>
      <c r="H7" s="24">
        <f t="shared" si="0"/>
        <v>181000</v>
      </c>
      <c r="I7" s="13">
        <f t="shared" si="0"/>
        <v>19100</v>
      </c>
      <c r="J7" s="25">
        <f t="shared" si="0"/>
        <v>5940</v>
      </c>
      <c r="K7" s="27">
        <f t="shared" si="0"/>
        <v>153100</v>
      </c>
      <c r="L7" s="27">
        <f t="shared" ref="L7:L17" si="1">SUM(D7:K7)</f>
        <v>815920</v>
      </c>
    </row>
    <row r="8" spans="2:12" x14ac:dyDescent="0.25">
      <c r="C8" s="21" t="s">
        <v>3</v>
      </c>
      <c r="D8" s="83">
        <f>'Input data'!D29</f>
        <v>3900</v>
      </c>
      <c r="E8" s="11">
        <f>'Input data'!E29</f>
        <v>14200</v>
      </c>
      <c r="F8" s="11">
        <f>'Input data'!F29</f>
        <v>5600</v>
      </c>
      <c r="G8" s="22">
        <f>'Input data'!G29</f>
        <v>2300</v>
      </c>
      <c r="H8" s="83">
        <f>'Input data'!H29</f>
        <v>9800</v>
      </c>
      <c r="I8" s="11">
        <f>'Input data'!I29</f>
        <v>1200</v>
      </c>
      <c r="J8" s="22">
        <f>'Input data'!J29</f>
        <v>300</v>
      </c>
      <c r="K8" s="28">
        <f>'Input data'!K29</f>
        <v>2000</v>
      </c>
      <c r="L8" s="28">
        <f>SUM(D8:K8)</f>
        <v>39300</v>
      </c>
    </row>
    <row r="9" spans="2:12" x14ac:dyDescent="0.25">
      <c r="C9" s="21" t="s">
        <v>4</v>
      </c>
      <c r="D9" s="83">
        <f>'Input data'!D30</f>
        <v>12900</v>
      </c>
      <c r="E9" s="11">
        <f>'Input data'!E30</f>
        <v>51100</v>
      </c>
      <c r="F9" s="11">
        <f>'Input data'!F30</f>
        <v>20200</v>
      </c>
      <c r="G9" s="22">
        <f>'Input data'!G30</f>
        <v>7100</v>
      </c>
      <c r="H9" s="83">
        <f>'Input data'!H30</f>
        <v>36200</v>
      </c>
      <c r="I9" s="11">
        <f>'Input data'!I30</f>
        <v>3800</v>
      </c>
      <c r="J9" s="22">
        <f>'Input data'!J30</f>
        <v>1200</v>
      </c>
      <c r="K9" s="28">
        <f>'Input data'!K30</f>
        <v>30600</v>
      </c>
      <c r="L9" s="28">
        <f>SUM(D9:K9)</f>
        <v>163100</v>
      </c>
    </row>
    <row r="10" spans="2:12" x14ac:dyDescent="0.25">
      <c r="C10" s="30" t="s">
        <v>5</v>
      </c>
      <c r="D10" s="24">
        <f t="shared" ref="D10:K10" si="2">D7+D8+D9</f>
        <v>81500</v>
      </c>
      <c r="E10" s="13">
        <f t="shared" si="2"/>
        <v>321000</v>
      </c>
      <c r="F10" s="13">
        <f t="shared" si="2"/>
        <v>126800</v>
      </c>
      <c r="G10" s="25">
        <f t="shared" si="2"/>
        <v>44780</v>
      </c>
      <c r="H10" s="24">
        <f t="shared" si="2"/>
        <v>227000</v>
      </c>
      <c r="I10" s="13">
        <f t="shared" si="2"/>
        <v>24100</v>
      </c>
      <c r="J10" s="25">
        <f t="shared" si="2"/>
        <v>7440</v>
      </c>
      <c r="K10" s="27">
        <f t="shared" si="2"/>
        <v>185700</v>
      </c>
      <c r="L10" s="27">
        <f t="shared" si="1"/>
        <v>1018320</v>
      </c>
    </row>
    <row r="11" spans="2:12" x14ac:dyDescent="0.25">
      <c r="C11" s="21" t="s">
        <v>86</v>
      </c>
      <c r="D11" s="26">
        <f>D$10*('Input data'!$E$34/100)</f>
        <v>12225</v>
      </c>
      <c r="E11" s="11">
        <f>E$10*('Input data'!$E$34/100)</f>
        <v>48150</v>
      </c>
      <c r="F11" s="11">
        <f>F$10*('Input data'!$E$34/100)</f>
        <v>19020</v>
      </c>
      <c r="G11" s="22">
        <f>G$10*('Input data'!$E$34/100)</f>
        <v>6717</v>
      </c>
      <c r="H11" s="26">
        <f>H$10*('Input data'!$E$34/100)</f>
        <v>34050</v>
      </c>
      <c r="I11" s="11">
        <f>I$10*('Input data'!$E$34/100)</f>
        <v>3615</v>
      </c>
      <c r="J11" s="22">
        <f>J$10*('Input data'!$E$34/100)</f>
        <v>1116</v>
      </c>
      <c r="K11" s="28">
        <f>K$10*('Input data'!$E$34/100)</f>
        <v>27855</v>
      </c>
      <c r="L11" s="28">
        <f t="shared" si="1"/>
        <v>152748</v>
      </c>
    </row>
    <row r="12" spans="2:12" x14ac:dyDescent="0.25">
      <c r="C12" s="30" t="s">
        <v>6</v>
      </c>
      <c r="D12" s="204">
        <f>SUM(D10:G11)</f>
        <v>660192</v>
      </c>
      <c r="E12" s="205"/>
      <c r="F12" s="205"/>
      <c r="G12" s="206"/>
      <c r="H12" s="204">
        <f>SUM(H10:J11)</f>
        <v>297321</v>
      </c>
      <c r="I12" s="205"/>
      <c r="J12" s="206"/>
      <c r="K12" s="27">
        <f>K10+K11</f>
        <v>213555</v>
      </c>
      <c r="L12" s="27">
        <f t="shared" si="1"/>
        <v>1171068</v>
      </c>
    </row>
    <row r="13" spans="2:12" x14ac:dyDescent="0.25">
      <c r="C13" s="21" t="s">
        <v>56</v>
      </c>
      <c r="D13" s="189">
        <f>D12*'Input data'!$H$37/100</f>
        <v>3300.96</v>
      </c>
      <c r="E13" s="165"/>
      <c r="F13" s="165"/>
      <c r="G13" s="190"/>
      <c r="H13" s="189">
        <f>H12*'Input data'!$H$37/100</f>
        <v>1486.605</v>
      </c>
      <c r="I13" s="165"/>
      <c r="J13" s="190"/>
      <c r="K13" s="28">
        <f>K12*'Input data'!$H$37/100</f>
        <v>1067.7750000000001</v>
      </c>
      <c r="L13" s="28">
        <f t="shared" si="1"/>
        <v>5855.34</v>
      </c>
    </row>
    <row r="14" spans="2:12" x14ac:dyDescent="0.25">
      <c r="C14" s="21" t="s">
        <v>57</v>
      </c>
      <c r="D14" s="189">
        <f>'Input data'!$H$39/12*SUM($D$28:$G$30)+'Input data'!$H$40/100*1/12*$D$27</f>
        <v>1282.9708009125868</v>
      </c>
      <c r="E14" s="165"/>
      <c r="F14" s="165"/>
      <c r="G14" s="190"/>
      <c r="H14" s="189">
        <f>'Input data'!$H$39/12*SUM($H$28:$J$30)+'Input data'!$H$40/100*1/12*$H$27</f>
        <v>2333.7904142100792</v>
      </c>
      <c r="I14" s="165"/>
      <c r="J14" s="190"/>
      <c r="K14" s="28">
        <f>'Input data'!$H$39/12*SUM($K$28:$K$30)+'Input data'!$H$40/100*1/12*$K$27</f>
        <v>0</v>
      </c>
      <c r="L14" s="28">
        <f t="shared" si="1"/>
        <v>3616.7612151226658</v>
      </c>
    </row>
    <row r="15" spans="2:12" x14ac:dyDescent="0.25">
      <c r="C15" s="21" t="s">
        <v>58</v>
      </c>
      <c r="D15" s="189">
        <f>'Input data'!$H$38/12*$D$23+D12*'Input data'!$H$41/100</f>
        <v>13603.84</v>
      </c>
      <c r="E15" s="165"/>
      <c r="F15" s="165"/>
      <c r="G15" s="190"/>
      <c r="H15" s="189">
        <f>'Input data'!$H$38/12*$H$23+H12*'Input data'!$H$41/100</f>
        <v>6146.42</v>
      </c>
      <c r="I15" s="165"/>
      <c r="J15" s="190"/>
      <c r="K15" s="28">
        <f>'Input data'!$H$38/12*$K$23+K12*'Input data'!$H$41/100</f>
        <v>4271.1000000000004</v>
      </c>
      <c r="L15" s="28">
        <f t="shared" si="1"/>
        <v>24021.360000000001</v>
      </c>
    </row>
    <row r="16" spans="2:12" x14ac:dyDescent="0.25">
      <c r="C16" s="31" t="s">
        <v>47</v>
      </c>
      <c r="D16" s="189">
        <f>D12*'Input data'!$H$42/100</f>
        <v>46213.440000000002</v>
      </c>
      <c r="E16" s="165">
        <f>E12*'Input data'!$H$42/100</f>
        <v>0</v>
      </c>
      <c r="F16" s="165">
        <f>F12*'Input data'!$H$42/100</f>
        <v>0</v>
      </c>
      <c r="G16" s="190">
        <f>G12*'Input data'!$H$42/100</f>
        <v>0</v>
      </c>
      <c r="H16" s="189">
        <f>H12*'Input data'!$H$42/100</f>
        <v>20812.47</v>
      </c>
      <c r="I16" s="165">
        <f>I12*'Input data'!$H$42/100</f>
        <v>0</v>
      </c>
      <c r="J16" s="190">
        <f>J12*'Input data'!$H$42/100</f>
        <v>0</v>
      </c>
      <c r="K16" s="28">
        <f>K12*'Input data'!$H$42/100</f>
        <v>14948.85</v>
      </c>
      <c r="L16" s="28">
        <f t="shared" si="1"/>
        <v>81974.760000000009</v>
      </c>
    </row>
    <row r="17" spans="2:12" x14ac:dyDescent="0.25">
      <c r="C17" s="21" t="s">
        <v>33</v>
      </c>
      <c r="D17" s="189">
        <f>D12*('Input data'!$D$48-1)</f>
        <v>105064.53934080008</v>
      </c>
      <c r="E17" s="165">
        <f>E12*('Input data'!$D$48-1)</f>
        <v>0</v>
      </c>
      <c r="F17" s="165">
        <f>F12*('Input data'!$D$48-1)</f>
        <v>0</v>
      </c>
      <c r="G17" s="190">
        <f>G12*('Input data'!$D$48-1)</f>
        <v>0</v>
      </c>
      <c r="H17" s="189">
        <f>H12*('Input data'!$D$48-1)</f>
        <v>47316.377510400038</v>
      </c>
      <c r="I17" s="165">
        <f>I12*('Input data'!$D$48-1)</f>
        <v>0</v>
      </c>
      <c r="J17" s="190">
        <f>J12*('Input data'!$D$48-1)</f>
        <v>0</v>
      </c>
      <c r="K17" s="28">
        <f>K12*('Input data'!$D$48-1)</f>
        <v>33985.655232000026</v>
      </c>
      <c r="L17" s="28">
        <f t="shared" si="1"/>
        <v>186366.57208320012</v>
      </c>
    </row>
    <row r="18" spans="2:12" x14ac:dyDescent="0.25">
      <c r="C18" s="23" t="s">
        <v>15</v>
      </c>
      <c r="D18" s="191">
        <f>SUM(D12:G17)</f>
        <v>829657.7501417126</v>
      </c>
      <c r="E18" s="192"/>
      <c r="F18" s="192"/>
      <c r="G18" s="193"/>
      <c r="H18" s="191">
        <f>SUM(H12:J17)</f>
        <v>375416.66292461008</v>
      </c>
      <c r="I18" s="207"/>
      <c r="J18" s="208"/>
      <c r="K18" s="15">
        <f>SUM(K12:K17)</f>
        <v>267828.38023200002</v>
      </c>
      <c r="L18" s="15">
        <f>SUM(L12:L17)</f>
        <v>1472902.7932983229</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1600</v>
      </c>
      <c r="E23" s="195"/>
      <c r="F23" s="195"/>
      <c r="G23" s="196"/>
      <c r="H23" s="194">
        <f>'Input data'!$G$54*'Input data'!$F$56/1000</f>
        <v>800</v>
      </c>
      <c r="I23" s="195"/>
      <c r="J23" s="196"/>
      <c r="K23" s="19">
        <f>'Input data'!$H$54*'Input data'!$F$56/1000</f>
        <v>0</v>
      </c>
      <c r="L23" s="19">
        <f t="shared" ref="L23:L32" si="3">SUM(D23:K23)</f>
        <v>2400</v>
      </c>
    </row>
    <row r="24" spans="2:12" x14ac:dyDescent="0.25">
      <c r="C24" s="17" t="s">
        <v>40</v>
      </c>
      <c r="D24" s="197">
        <f>(SUM(D10:D11)*'Input data'!$F$59+SUM(E10:G11)*'Input data'!$F$60)/100/('Input data'!$F$66/100)</f>
        <v>22006.400000000001</v>
      </c>
      <c r="E24" s="143"/>
      <c r="F24" s="143"/>
      <c r="G24" s="198"/>
      <c r="H24" s="197">
        <f>(SUM(H10:H11)*'Input data'!$F$61+SUM(I10:J11)*'Input data'!$F$62)/100/('Input data'!$F$66/100)</f>
        <v>11481.6</v>
      </c>
      <c r="I24" s="143"/>
      <c r="J24" s="198"/>
      <c r="K24" s="14">
        <f>SUM(K10:K11)*'Input data'!$F$63/100/('Input data'!$F$66/100)</f>
        <v>3559.2500000000005</v>
      </c>
      <c r="L24" s="14">
        <f t="shared" si="3"/>
        <v>37047.25</v>
      </c>
    </row>
    <row r="25" spans="2:12" x14ac:dyDescent="0.25">
      <c r="C25" s="17" t="s">
        <v>41</v>
      </c>
      <c r="D25" s="197">
        <f>D12*'Input data'!$F$69/100</f>
        <v>3300.96</v>
      </c>
      <c r="E25" s="143"/>
      <c r="F25" s="143"/>
      <c r="G25" s="198"/>
      <c r="H25" s="197">
        <f>H12*'Input data'!$F$69/100</f>
        <v>1486.605</v>
      </c>
      <c r="I25" s="143"/>
      <c r="J25" s="198"/>
      <c r="K25" s="14">
        <f>K12*'Input data'!$F$69/100</f>
        <v>1067.7750000000001</v>
      </c>
      <c r="L25" s="14">
        <f t="shared" si="3"/>
        <v>5855.34</v>
      </c>
    </row>
    <row r="26" spans="2:12" x14ac:dyDescent="0.25">
      <c r="C26" s="18" t="s">
        <v>17</v>
      </c>
      <c r="D26" s="191">
        <f>SUM(D23:G25)</f>
        <v>26907.360000000001</v>
      </c>
      <c r="E26" s="192"/>
      <c r="F26" s="192"/>
      <c r="G26" s="193"/>
      <c r="H26" s="191">
        <f>SUM(H23:J25)</f>
        <v>13768.205</v>
      </c>
      <c r="I26" s="192"/>
      <c r="J26" s="193"/>
      <c r="K26" s="15">
        <f>SUM(K23:K25)</f>
        <v>4627.0250000000005</v>
      </c>
      <c r="L26" s="15">
        <f t="shared" si="3"/>
        <v>45302.590000000004</v>
      </c>
    </row>
    <row r="27" spans="2:12" x14ac:dyDescent="0.25">
      <c r="C27" s="16" t="s">
        <v>42</v>
      </c>
      <c r="D27" s="194">
        <v>0</v>
      </c>
      <c r="E27" s="195"/>
      <c r="F27" s="195"/>
      <c r="G27" s="196"/>
      <c r="H27" s="194">
        <f>'Input data'!$G$85*'Input data'!$F$93/1000</f>
        <v>108300.73988208381</v>
      </c>
      <c r="I27" s="195"/>
      <c r="J27" s="196"/>
      <c r="K27" s="19">
        <v>0</v>
      </c>
      <c r="L27" s="19">
        <f t="shared" si="3"/>
        <v>108300.73988208381</v>
      </c>
    </row>
    <row r="28" spans="2:12" x14ac:dyDescent="0.25">
      <c r="C28" s="17" t="s">
        <v>43</v>
      </c>
      <c r="D28" s="197">
        <f>('Input data'!$E$86*'Input data'!$F$94+'Input data'!$E$87*'Input data'!$F$95+'Input data'!$E$88*'Input data'!$F$96)/1000</f>
        <v>12069.249610951043</v>
      </c>
      <c r="E28" s="143"/>
      <c r="F28" s="143"/>
      <c r="G28" s="198"/>
      <c r="H28" s="197">
        <v>0</v>
      </c>
      <c r="I28" s="143"/>
      <c r="J28" s="198"/>
      <c r="K28" s="14">
        <v>0</v>
      </c>
      <c r="L28" s="14">
        <f t="shared" si="3"/>
        <v>12069.249610951043</v>
      </c>
    </row>
    <row r="29" spans="2:12" x14ac:dyDescent="0.25">
      <c r="C29" s="17" t="s">
        <v>44</v>
      </c>
      <c r="D29" s="197">
        <v>0</v>
      </c>
      <c r="E29" s="143"/>
      <c r="F29" s="143"/>
      <c r="G29" s="198"/>
      <c r="H29" s="197">
        <f>'Input data'!$G$89*'Input data'!$F$97/1000</f>
        <v>930.29999999999984</v>
      </c>
      <c r="I29" s="143"/>
      <c r="J29" s="198"/>
      <c r="K29" s="14">
        <v>0</v>
      </c>
      <c r="L29" s="14">
        <f t="shared" si="3"/>
        <v>930.29999999999984</v>
      </c>
    </row>
    <row r="30" spans="2:12" x14ac:dyDescent="0.25">
      <c r="C30" s="17" t="s">
        <v>45</v>
      </c>
      <c r="D30" s="197">
        <f>('Input data'!$E$90*'Input data'!$F$98+'Input data'!$E$88*'Input data'!$F$99)/1000</f>
        <v>3326.3999999999992</v>
      </c>
      <c r="E30" s="143"/>
      <c r="F30" s="143"/>
      <c r="G30" s="198"/>
      <c r="H30" s="197">
        <v>0</v>
      </c>
      <c r="I30" s="143"/>
      <c r="J30" s="198"/>
      <c r="K30" s="14">
        <v>0</v>
      </c>
      <c r="L30" s="14">
        <f t="shared" si="3"/>
        <v>3326.3999999999992</v>
      </c>
    </row>
    <row r="31" spans="2:12" x14ac:dyDescent="0.25">
      <c r="C31" s="18" t="s">
        <v>18</v>
      </c>
      <c r="D31" s="191">
        <f>SUM(D27:G30)</f>
        <v>15395.649610951043</v>
      </c>
      <c r="E31" s="192"/>
      <c r="F31" s="192"/>
      <c r="G31" s="193"/>
      <c r="H31" s="191">
        <f>SUM(H27:J30)</f>
        <v>109231.03988208382</v>
      </c>
      <c r="I31" s="192"/>
      <c r="J31" s="193"/>
      <c r="K31" s="15">
        <f>SUM(K27:K30)</f>
        <v>0</v>
      </c>
      <c r="L31" s="15">
        <f t="shared" si="3"/>
        <v>124626.68949303486</v>
      </c>
    </row>
    <row r="32" spans="2:12" x14ac:dyDescent="0.25">
      <c r="C32" s="18" t="s">
        <v>16</v>
      </c>
      <c r="D32" s="191">
        <f>D31+D26</f>
        <v>42303.009610951041</v>
      </c>
      <c r="E32" s="192"/>
      <c r="F32" s="192"/>
      <c r="G32" s="193"/>
      <c r="H32" s="191">
        <f>H26+H31</f>
        <v>122999.24488208382</v>
      </c>
      <c r="I32" s="192"/>
      <c r="J32" s="193"/>
      <c r="K32" s="15">
        <f>K26+K31</f>
        <v>4627.0250000000005</v>
      </c>
      <c r="L32" s="15">
        <f t="shared" si="3"/>
        <v>169929.27949303485</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127759.01420224106</v>
      </c>
    </row>
    <row r="42" spans="2:12" x14ac:dyDescent="0.25">
      <c r="C42" s="21" t="s">
        <v>20</v>
      </c>
      <c r="D42" s="37">
        <f>$L$32</f>
        <v>169929.27949303485</v>
      </c>
    </row>
    <row r="43" spans="2:12" x14ac:dyDescent="0.25">
      <c r="C43" s="21" t="s">
        <v>92</v>
      </c>
      <c r="D43" s="37">
        <f>$L$37</f>
        <v>0</v>
      </c>
    </row>
    <row r="44" spans="2:12" x14ac:dyDescent="0.25">
      <c r="C44" s="23" t="s">
        <v>21</v>
      </c>
      <c r="D44" s="39">
        <f>SUM(D41:D43)</f>
        <v>297688.2936952759</v>
      </c>
    </row>
    <row r="45" spans="2:12" x14ac:dyDescent="0.25">
      <c r="D45" s="3"/>
    </row>
    <row r="46" spans="2:12" x14ac:dyDescent="0.25">
      <c r="D46" s="3"/>
    </row>
    <row r="47" spans="2:12" ht="18" x14ac:dyDescent="0.35">
      <c r="C47" s="12" t="s">
        <v>110</v>
      </c>
      <c r="D47" s="40">
        <f>$D$44/'Input data'!$F$19</f>
        <v>107.19421249635782</v>
      </c>
    </row>
    <row r="48" spans="2:12" ht="18" x14ac:dyDescent="0.35">
      <c r="C48" s="12" t="s">
        <v>102</v>
      </c>
      <c r="D48" s="41">
        <f>$D$44/'Input data'!$F$20</f>
        <v>161.15955895547651</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61.860851978869391</v>
      </c>
      <c r="F3" t="s">
        <v>38</v>
      </c>
      <c r="G3" s="44" t="s">
        <v>108</v>
      </c>
      <c r="H3" s="50">
        <f>D10+D12</f>
        <v>58.630788793511059</v>
      </c>
    </row>
    <row r="4" spans="2:8" x14ac:dyDescent="0.25">
      <c r="B4" s="89"/>
      <c r="C4" s="90" t="s">
        <v>34</v>
      </c>
      <c r="D4" s="91">
        <f>'Detailed cost results'!$D$18/('Input data'!$F$20*'Input data'!$E$8)</f>
        <v>38.959264930341313</v>
      </c>
      <c r="F4" t="s">
        <v>38</v>
      </c>
      <c r="G4" t="str">
        <f>IF('Input data'!F103="Yes",'Summarised cost results'!G3,'Summarised cost results'!C10)</f>
        <v>Natural gas cost</v>
      </c>
      <c r="H4" s="51">
        <f>IF('Input data'!F103="Yes",H3,D10)</f>
        <v>58.630788793511059</v>
      </c>
    </row>
    <row r="5" spans="2:8" x14ac:dyDescent="0.25">
      <c r="B5" s="92"/>
      <c r="C5" s="90" t="s">
        <v>35</v>
      </c>
      <c r="D5" s="91">
        <f>'Detailed cost results'!$D$26/'Input data'!$F$20</f>
        <v>14.566841767365895</v>
      </c>
    </row>
    <row r="6" spans="2:8" x14ac:dyDescent="0.25">
      <c r="B6" s="92"/>
      <c r="C6" s="90" t="s">
        <v>36</v>
      </c>
      <c r="D6" s="91">
        <f>'Detailed cost results'!$D$31/'Input data'!$F$20</f>
        <v>8.3347452811621849</v>
      </c>
    </row>
    <row r="7" spans="2:8" x14ac:dyDescent="0.25">
      <c r="B7" s="212" t="s">
        <v>38</v>
      </c>
      <c r="C7" s="210"/>
      <c r="D7" s="98">
        <f>SUM(D8:D12)</f>
        <v>84.217025267819011</v>
      </c>
    </row>
    <row r="8" spans="2:8" x14ac:dyDescent="0.25">
      <c r="B8" s="89"/>
      <c r="C8" s="90" t="s">
        <v>34</v>
      </c>
      <c r="D8" s="93">
        <f>'Detailed cost results'!$H$18/('Input data'!$F$20*'Input data'!$E$8)</f>
        <v>17.628904482175074</v>
      </c>
    </row>
    <row r="9" spans="2:8" x14ac:dyDescent="0.25">
      <c r="B9" s="94"/>
      <c r="C9" s="90" t="s">
        <v>35</v>
      </c>
      <c r="D9" s="93">
        <f>'Detailed cost results'!$H$26/'Input data'!$F$20</f>
        <v>7.4536953330113374</v>
      </c>
    </row>
    <row r="10" spans="2:8" x14ac:dyDescent="0.25">
      <c r="B10" s="94"/>
      <c r="C10" s="90" t="s">
        <v>65</v>
      </c>
      <c r="D10" s="91">
        <f>'Detailed cost results'!$H$27/'Input data'!$F$20</f>
        <v>58.630788793511059</v>
      </c>
    </row>
    <row r="11" spans="2:8" x14ac:dyDescent="0.25">
      <c r="B11" s="94"/>
      <c r="C11" s="90" t="s">
        <v>111</v>
      </c>
      <c r="D11" s="91">
        <f>('Detailed cost results'!$H$31-'Detailed cost results'!$H$27)/'Input data'!$F$20</f>
        <v>0.50363665912153899</v>
      </c>
    </row>
    <row r="12" spans="2:8" x14ac:dyDescent="0.25">
      <c r="B12" s="94"/>
      <c r="C12" s="90" t="s">
        <v>92</v>
      </c>
      <c r="D12" s="91">
        <f>'Detailed cost results'!$H$37/'Input data'!$F$20</f>
        <v>0</v>
      </c>
    </row>
    <row r="13" spans="2:8" x14ac:dyDescent="0.25">
      <c r="B13" s="212" t="s">
        <v>12</v>
      </c>
      <c r="C13" s="210"/>
      <c r="D13" s="99">
        <f>SUM(D14:D16)</f>
        <v>15.081681708788103</v>
      </c>
    </row>
    <row r="14" spans="2:8" x14ac:dyDescent="0.25">
      <c r="B14" s="89"/>
      <c r="C14" s="90" t="s">
        <v>34</v>
      </c>
      <c r="D14" s="95">
        <f>'Detailed cost results'!$K$18/('Input data'!$F$20*'Input data'!$E$8)</f>
        <v>12.576748447827303</v>
      </c>
    </row>
    <row r="15" spans="2:8" x14ac:dyDescent="0.25">
      <c r="B15" s="94"/>
      <c r="C15" s="90" t="s">
        <v>35</v>
      </c>
      <c r="D15" s="95">
        <f>'Detailed cost results'!$K$26/'Input data'!$F$20</f>
        <v>2.5049332609607999</v>
      </c>
    </row>
    <row r="16" spans="2:8" x14ac:dyDescent="0.25">
      <c r="B16" s="94"/>
      <c r="C16" s="90" t="s">
        <v>36</v>
      </c>
      <c r="D16" s="95">
        <f>'Detailed cost results'!$K$31/'Input data'!$F$20</f>
        <v>0</v>
      </c>
    </row>
    <row r="17" spans="2:4" x14ac:dyDescent="0.25">
      <c r="B17" s="211" t="s">
        <v>37</v>
      </c>
      <c r="C17" s="211"/>
      <c r="D17" s="100">
        <f>D13+D7+D3</f>
        <v>161.15955895547651</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150.78482127642496</v>
      </c>
      <c r="G5" s="54">
        <f>$E$5*('Summarised cost results'!$D$4+'Summarised cost results'!$D$8+'Summarised cost results'!$D$14)+'Summarised cost results'!$D$17</f>
        <v>185.3672802065968</v>
      </c>
      <c r="H5" s="86">
        <f>(MIN(F5:G5)-'Summarised cost results'!$D$17)/'Summarised cost results'!$D$17</f>
        <v>-6.4375565100161222E-2</v>
      </c>
      <c r="I5" s="86">
        <f>(MAX(F5:G5)-'Summarised cost results'!$D$17)/'Summarised cost results'!$D$17</f>
        <v>0.15020965190037625</v>
      </c>
      <c r="J5" s="43">
        <f>MIN(F5:G5)</f>
        <v>150.78482127642496</v>
      </c>
      <c r="K5" s="59">
        <f>MAX(F5:G5)-MIN(F5:G5)</f>
        <v>34.582458930171839</v>
      </c>
    </row>
    <row r="6" spans="2:11" x14ac:dyDescent="0.25">
      <c r="C6" s="9" t="s">
        <v>35</v>
      </c>
      <c r="D6" s="55">
        <f>'Input data'!$D$113</f>
        <v>-0.2</v>
      </c>
      <c r="E6" s="55">
        <f>'Input data'!$E$113</f>
        <v>0.2</v>
      </c>
      <c r="F6" s="56">
        <f>$D$6*('Summarised cost results'!$D$5+'Summarised cost results'!$D$9+'Summarised cost results'!$D$15)+'Summarised cost results'!$D$17</f>
        <v>156.2544648832089</v>
      </c>
      <c r="G6" s="56">
        <f>$E$6*('Summarised cost results'!$D$5+'Summarised cost results'!$D$9+'Summarised cost results'!$D$15)+'Summarised cost results'!$D$17</f>
        <v>166.06465302774413</v>
      </c>
      <c r="H6" s="87">
        <f>(MIN(F6:G6)-'Summarised cost results'!$D$17)/'Summarised cost results'!$D$17</f>
        <v>-3.0436258972530102E-2</v>
      </c>
      <c r="I6" s="87">
        <f>(MAX(F6:G6)-'Summarised cost results'!$D$17)/'Summarised cost results'!$D$17</f>
        <v>3.0436258972530102E-2</v>
      </c>
      <c r="J6" s="43">
        <f>MIN(F6:G6)</f>
        <v>156.2544648832089</v>
      </c>
      <c r="K6" s="59">
        <f>MAX(F6:G6)-MIN(F6:G6)</f>
        <v>9.8101881445352319</v>
      </c>
    </row>
    <row r="7" spans="2:11" x14ac:dyDescent="0.25">
      <c r="C7" s="9" t="s">
        <v>65</v>
      </c>
      <c r="D7" s="55">
        <f>'Input data'!$D$114</f>
        <v>-0.3</v>
      </c>
      <c r="E7" s="55">
        <f>'Input data'!$E$114</f>
        <v>0.3</v>
      </c>
      <c r="F7" s="56">
        <f>$D$7*'Detailed cost results'!$L$27/'Input data'!$F$20+'Summarised cost results'!$D$17</f>
        <v>143.57032231742321</v>
      </c>
      <c r="G7" s="56">
        <f>$E$7*'Detailed cost results'!$L$27/'Input data'!$F$20+'Summarised cost results'!$D$17</f>
        <v>178.74879559352982</v>
      </c>
      <c r="H7" s="87">
        <f>(MIN(F7:G7)-'Summarised cost results'!$D$17)/'Summarised cost results'!$D$17</f>
        <v>-0.10914175213716414</v>
      </c>
      <c r="I7" s="87">
        <f>(MAX(F7:G7)-'Summarised cost results'!$D$17)/'Summarised cost results'!$D$17</f>
        <v>0.10914175213716414</v>
      </c>
      <c r="J7" s="43">
        <f t="shared" ref="J7:J16" si="0">MIN(F7:G7)</f>
        <v>143.57032231742321</v>
      </c>
      <c r="K7" s="59">
        <f>MAX(F7:G7)-MIN(F7:G7)</f>
        <v>35.178473276106615</v>
      </c>
    </row>
    <row r="8" spans="2:11" x14ac:dyDescent="0.25">
      <c r="C8" s="45" t="s">
        <v>112</v>
      </c>
      <c r="D8" s="57">
        <f>'Input data'!$D$113</f>
        <v>-0.2</v>
      </c>
      <c r="E8" s="57">
        <f>'Input data'!$E$113</f>
        <v>0.2</v>
      </c>
      <c r="F8" s="58">
        <f>$D$8*('Summarised cost results'!$D$6+'Summarised cost results'!$D$11+'Summarised cost results'!$D$16)+'Summarised cost results'!$D$17</f>
        <v>159.39188256741977</v>
      </c>
      <c r="G8" s="58">
        <f>$E$8*('Summarised cost results'!$D$6+'Summarised cost results'!$D$11+'Summarised cost results'!$D$16)+'Summarised cost results'!$D$17</f>
        <v>162.92723534353325</v>
      </c>
      <c r="H8" s="88">
        <f>(MIN(F8:G8)-'Summarised cost results'!$D$17)/'Summarised cost results'!$D$17</f>
        <v>-1.0968486135812132E-2</v>
      </c>
      <c r="I8" s="88">
        <f>(MAX(F8:G8)-'Summarised cost results'!$D$17)/'Summarised cost results'!$D$17</f>
        <v>1.0968486135812132E-2</v>
      </c>
      <c r="J8" s="43">
        <f t="shared" si="0"/>
        <v>159.39188256741977</v>
      </c>
      <c r="K8" s="59">
        <f t="shared" ref="K8:K16" si="1">MAX(F8:G8)-MIN(F8:G8)</f>
        <v>3.5353527761134842</v>
      </c>
    </row>
    <row r="9" spans="2:11" ht="18" x14ac:dyDescent="0.25">
      <c r="C9" s="10" t="s">
        <v>109</v>
      </c>
      <c r="D9" s="55">
        <f>'Input data'!$D$115</f>
        <v>-0.3</v>
      </c>
      <c r="E9" s="55">
        <f>'Input data'!$E$115</f>
        <v>0.3</v>
      </c>
      <c r="F9" s="59">
        <f>$D$9*'Summarised cost results'!$D3+'Summarised cost results'!$D$17</f>
        <v>142.6013033618157</v>
      </c>
      <c r="G9" s="59">
        <f>$E$9*'Summarised cost results'!$D3+'Summarised cost results'!$D$17</f>
        <v>179.71781454913733</v>
      </c>
      <c r="H9" s="85">
        <f>(MIN(F9:G9)-'Summarised cost results'!$D$17)/'Summarised cost results'!$D$17</f>
        <v>-0.11515454443994787</v>
      </c>
      <c r="I9" s="85">
        <f>(MAX(F9:G9)-'Summarised cost results'!$D$17)/'Summarised cost results'!$D$17</f>
        <v>0.11515454443994787</v>
      </c>
      <c r="J9" s="121">
        <f t="shared" si="0"/>
        <v>142.6013033618157</v>
      </c>
      <c r="K9" s="54">
        <f t="shared" si="1"/>
        <v>37.116511187321635</v>
      </c>
    </row>
    <row r="10" spans="2:11" x14ac:dyDescent="0.25">
      <c r="C10" s="10" t="s">
        <v>38</v>
      </c>
      <c r="D10" s="55">
        <f>'Input data'!$D$116</f>
        <v>-0.3</v>
      </c>
      <c r="E10" s="55">
        <f>'Input data'!$E$116</f>
        <v>0.3</v>
      </c>
      <c r="F10" s="59">
        <f>$D$10*'Summarised cost results'!$D7+'Summarised cost results'!$D$17</f>
        <v>135.89445137513081</v>
      </c>
      <c r="G10" s="59">
        <f>$E$10*'Summarised cost results'!$D7+'Summarised cost results'!$D$17</f>
        <v>186.42466653582221</v>
      </c>
      <c r="H10" s="85">
        <f>(MIN(F10:G10)-'Summarised cost results'!$D$17)/'Summarised cost results'!$D$17</f>
        <v>-0.15677076646335128</v>
      </c>
      <c r="I10" s="85">
        <f>(MAX(F10:G10)-'Summarised cost results'!$D$17)/'Summarised cost results'!$D$17</f>
        <v>0.15677076646335128</v>
      </c>
      <c r="J10" s="43">
        <f t="shared" si="0"/>
        <v>135.89445137513081</v>
      </c>
      <c r="K10" s="56">
        <f t="shared" si="1"/>
        <v>50.530215160691398</v>
      </c>
    </row>
    <row r="11" spans="2:11" x14ac:dyDescent="0.25">
      <c r="C11" s="9" t="s">
        <v>12</v>
      </c>
      <c r="D11" s="55">
        <f>'Input data'!$D$117</f>
        <v>-0.3</v>
      </c>
      <c r="E11" s="55">
        <f>'Input data'!$E$117</f>
        <v>0.3</v>
      </c>
      <c r="F11" s="56">
        <f>$D$11*'Summarised cost results'!$D$13+'Summarised cost results'!$D$17</f>
        <v>156.63505444284007</v>
      </c>
      <c r="G11" s="56">
        <f>$E$11*'Summarised cost results'!$D13+'Summarised cost results'!$D$17</f>
        <v>165.68406346811295</v>
      </c>
      <c r="H11" s="85">
        <f>(MIN(F11:G11)-'Summarised cost results'!$D$17)/'Summarised cost results'!$D$17</f>
        <v>-2.8074689096700887E-2</v>
      </c>
      <c r="I11" s="85">
        <f>(MAX(F11:G11)-'Summarised cost results'!$D$17)/'Summarised cost results'!$D$17</f>
        <v>2.8074689096700887E-2</v>
      </c>
      <c r="J11" s="122">
        <f>MIN(F11:G11)</f>
        <v>156.63505444284007</v>
      </c>
      <c r="K11" s="58">
        <f>MAX(F11:G11)-MIN(F11:G11)</f>
        <v>9.0490090252728805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153.89206629609842</v>
      </c>
      <c r="G12" s="54">
        <f>'Summarised cost results'!$D$17+'Sensitivity analyses'!$E$12*('Summarised cost results'!$D$8+'Summarised cost results'!$D$9)*'Detailed cost results'!$H$10/SUM('Detailed cost results'!$H$10:$J$10)</f>
        <v>161.15955895547651</v>
      </c>
      <c r="H12" s="86">
        <f>(MIN(F12:G12)-'Summarised cost results'!$D$17)/'Summarised cost results'!$D$17</f>
        <v>-4.5095014571154786E-2</v>
      </c>
      <c r="I12" s="86">
        <f>(MAX(F12:G12)-'Summarised cost results'!$D$17)/'Summarised cost results'!$D$17</f>
        <v>0</v>
      </c>
      <c r="J12" s="43">
        <f t="shared" si="0"/>
        <v>153.89206629609842</v>
      </c>
      <c r="K12" s="59">
        <f t="shared" si="1"/>
        <v>7.2674926593780924</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126.5538600344982</v>
      </c>
      <c r="G13" s="58">
        <f>($E$13*'Detailed cost results'!$L$27/'Input data'!$F$20*'Input data'!I81+'Summarised cost results'!$D$17)/(('Input data'!F20)/('Input data'!F20+('Input data'!F19-'Input data'!F20)*'Sensitivity analyses'!E13))</f>
        <v>161.15955895547651</v>
      </c>
      <c r="H13" s="88">
        <f>(MIN(F13:G13)-'Summarised cost results'!$D$17)/'Summarised cost results'!$D$17</f>
        <v>-0.21472942185538504</v>
      </c>
      <c r="I13" s="88">
        <f>(MAX(F13:G13)-'Summarised cost results'!$D$17)/'Summarised cost results'!$D$17</f>
        <v>0</v>
      </c>
      <c r="J13" s="43">
        <f t="shared" si="0"/>
        <v>126.5538600344982</v>
      </c>
      <c r="K13" s="59">
        <f t="shared" si="1"/>
        <v>34.605698920978313</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202.02609591142701</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153.91027706563906</v>
      </c>
      <c r="H14" s="86">
        <f>(MIN(F14:G14)-'Summarised cost results'!$D$17)/'Summarised cost results'!$D$17</f>
        <v>-4.498201618831809E-2</v>
      </c>
      <c r="I14" s="86">
        <f>(MAX(F14:G14)-'Summarised cost results'!$D$17)/'Summarised cost results'!$D$17</f>
        <v>0.25357811364599647</v>
      </c>
      <c r="J14" s="121">
        <f t="shared" si="0"/>
        <v>153.91027706563906</v>
      </c>
      <c r="K14" s="54">
        <f t="shared" si="1"/>
        <v>48.115818845787942</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141.07369745677752</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182.76842898898474</v>
      </c>
      <c r="H15" s="87">
        <f>(MIN(F15:G15)-'Summarised cost results'!$D$17)/'Summarised cost results'!$D$17</f>
        <v>-0.12463338587472868</v>
      </c>
      <c r="I15" s="87">
        <f>(MAX(F15:G15)-'Summarised cost results'!$D$17)/'Summarised cost results'!$D$17</f>
        <v>0.13408370048641111</v>
      </c>
      <c r="J15" s="43">
        <f t="shared" si="0"/>
        <v>141.07369745677752</v>
      </c>
      <c r="K15" s="56">
        <f t="shared" si="1"/>
        <v>41.694731532207214</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186.74110391752143</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158.31716507080483</v>
      </c>
      <c r="H16" s="88">
        <f>(MIN(F16:G16)-'Summarised cost results'!$D$17)/'Summarised cost results'!$D$17</f>
        <v>-1.7637141123331979E-2</v>
      </c>
      <c r="I16" s="88">
        <f>(MAX(F16:G16)-'Summarised cost results'!$D$17)/'Summarised cost results'!$D$17</f>
        <v>0.15873427010998659</v>
      </c>
      <c r="J16" s="122">
        <f t="shared" si="0"/>
        <v>158.31716507080483</v>
      </c>
      <c r="K16" s="58">
        <f t="shared" si="1"/>
        <v>28.423938846716595</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